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2.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omments6.xml" ContentType="application/vnd.openxmlformats-officedocument.spreadsheetml.comments+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tables/table3.xml" ContentType="application/vnd.openxmlformats-officedocument.spreadsheetml.table+xml"/>
  <Override PartName="/xl/charts/chart9.xml" ContentType="application/vnd.openxmlformats-officedocument.drawingml.chart+xml"/>
  <Override PartName="/xl/drawings/drawing8.xml" ContentType="application/vnd.openxmlformats-officedocument.drawing+xml"/>
  <Override PartName="/xl/comments7.xml" ContentType="application/vnd.openxmlformats-officedocument.spreadsheetml.comments+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10.xml" ContentType="application/vnd.openxmlformats-officedocument.drawing+xml"/>
  <Override PartName="/xl/comments8.xml" ContentType="application/vnd.openxmlformats-officedocument.spreadsheetml.comments+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Mis Documentos\Desktop\Tesis_Repositorio\"/>
    </mc:Choice>
  </mc:AlternateContent>
  <bookViews>
    <workbookView xWindow="0" yWindow="0" windowWidth="20490" windowHeight="7155" tabRatio="929" firstSheet="9" activeTab="19"/>
  </bookViews>
  <sheets>
    <sheet name="INICIO" sheetId="18" r:id="rId1"/>
    <sheet name="Resumen" sheetId="28" r:id="rId2"/>
    <sheet name="BG" sheetId="2" r:id="rId3"/>
    <sheet name="ER" sheetId="16" r:id="rId4"/>
    <sheet name="Ratios" sheetId="17" r:id="rId5"/>
    <sheet name="Betas" sheetId="5" r:id="rId6"/>
    <sheet name="PrimaRiesgo" sheetId="7" r:id="rId7"/>
    <sheet name="RiesgoPais" sheetId="6" r:id="rId8"/>
    <sheet name="ERPs by country" sheetId="14" r:id="rId9"/>
    <sheet name="Factor" sheetId="13" r:id="rId10"/>
    <sheet name="CapitalTrabajo" sheetId="19" r:id="rId11"/>
    <sheet name="Lambda" sheetId="36" r:id="rId12"/>
    <sheet name="PabloFernandez" sheetId="32" r:id="rId13"/>
    <sheet name="Kd" sheetId="12" r:id="rId14"/>
    <sheet name="Ke" sheetId="1" r:id="rId15"/>
    <sheet name="WACC" sheetId="8" r:id="rId16"/>
    <sheet name="Comun-Inversion" sheetId="38" r:id="rId17"/>
    <sheet name="Supuestos" sheetId="21" r:id="rId18"/>
    <sheet name="G" sheetId="39" r:id="rId19"/>
    <sheet name="Flujo de Caja" sheetId="20" r:id="rId20"/>
    <sheet name="Multiplos" sheetId="37" r:id="rId21"/>
    <sheet name="EEFF Proyectados" sheetId="40" r:id="rId22"/>
    <sheet name="Proyeccion Venta" sheetId="23" r:id="rId23"/>
    <sheet name="Eviews" sheetId="41" r:id="rId24"/>
    <sheet name="Caja a Litros" sheetId="24" r:id="rId25"/>
    <sheet name="PU" sheetId="25" r:id="rId26"/>
    <sheet name="Est poblacionales" sheetId="26" r:id="rId27"/>
    <sheet name="INEI" sheetId="27" r:id="rId28"/>
    <sheet name="Depreciacion" sheetId="30" r:id="rId29"/>
    <sheet name="Costo de Produccion" sheetId="29" r:id="rId30"/>
    <sheet name="Commoditie" sheetId="31" r:id="rId31"/>
  </sheets>
  <externalReferences>
    <externalReference r:id="rId32"/>
    <externalReference r:id="rId33"/>
    <externalReference r:id="rId34"/>
  </externalReferences>
  <definedNames>
    <definedName name="_xlnm._FilterDatabase" localSheetId="2" hidden="1">BG!$B$4:$M$27</definedName>
    <definedName name="_Toc460067643" localSheetId="23">Eviews!$A$110</definedName>
    <definedName name="_Toc460067658" localSheetId="23">Eviews!$A$81</definedName>
    <definedName name="_Toc460067659" localSheetId="23">Eviews!$A$127</definedName>
    <definedName name="_Toc460067660" localSheetId="23">Eviews!$A$160</definedName>
    <definedName name="_xlnm.Print_Area" localSheetId="7">RiesgoPais!$A$2:$S$272</definedName>
    <definedName name="BLPH1" localSheetId="30" hidden="1">#REF!</definedName>
    <definedName name="BLPH1" localSheetId="29" hidden="1">#REF!</definedName>
    <definedName name="BLPH1" localSheetId="28" hidden="1">#REF!</definedName>
    <definedName name="BLPH1" localSheetId="4" hidden="1">#REF!</definedName>
    <definedName name="BLPH1" localSheetId="17" hidden="1">#REF!</definedName>
    <definedName name="BLPH1" hidden="1">#REF!</definedName>
    <definedName name="BLPH10" localSheetId="30" hidden="1">#REF!</definedName>
    <definedName name="BLPH10" localSheetId="29" hidden="1">#REF!</definedName>
    <definedName name="BLPH10" localSheetId="28" hidden="1">#REF!</definedName>
    <definedName name="BLPH10" localSheetId="4" hidden="1">#REF!</definedName>
    <definedName name="BLPH10" localSheetId="17" hidden="1">#REF!</definedName>
    <definedName name="BLPH10" hidden="1">#REF!</definedName>
    <definedName name="BLPH11" localSheetId="30" hidden="1">#REF!</definedName>
    <definedName name="BLPH11" localSheetId="29" hidden="1">#REF!</definedName>
    <definedName name="BLPH11" localSheetId="28" hidden="1">#REF!</definedName>
    <definedName name="BLPH11" localSheetId="4" hidden="1">#REF!</definedName>
    <definedName name="BLPH11" localSheetId="17" hidden="1">#REF!</definedName>
    <definedName name="BLPH11" hidden="1">#REF!</definedName>
    <definedName name="BLPH12" localSheetId="30" hidden="1">#REF!</definedName>
    <definedName name="BLPH12" localSheetId="29" hidden="1">#REF!</definedName>
    <definedName name="BLPH12" localSheetId="28" hidden="1">#REF!</definedName>
    <definedName name="BLPH12" localSheetId="4" hidden="1">#REF!</definedName>
    <definedName name="BLPH12" localSheetId="17" hidden="1">#REF!</definedName>
    <definedName name="BLPH12" hidden="1">#REF!</definedName>
    <definedName name="BLPH13" localSheetId="30" hidden="1">#REF!</definedName>
    <definedName name="BLPH13" localSheetId="29" hidden="1">#REF!</definedName>
    <definedName name="BLPH13" localSheetId="28" hidden="1">#REF!</definedName>
    <definedName name="BLPH13" localSheetId="4" hidden="1">#REF!</definedName>
    <definedName name="BLPH13" localSheetId="17" hidden="1">#REF!</definedName>
    <definedName name="BLPH13" hidden="1">#REF!</definedName>
    <definedName name="BLPH14" localSheetId="30" hidden="1">#REF!</definedName>
    <definedName name="BLPH14" localSheetId="29" hidden="1">#REF!</definedName>
    <definedName name="BLPH14" localSheetId="28" hidden="1">#REF!</definedName>
    <definedName name="BLPH14" localSheetId="4" hidden="1">#REF!</definedName>
    <definedName name="BLPH14" localSheetId="17" hidden="1">#REF!</definedName>
    <definedName name="BLPH14" hidden="1">#REF!</definedName>
    <definedName name="BLPH15" localSheetId="30" hidden="1">#REF!</definedName>
    <definedName name="BLPH15" localSheetId="29" hidden="1">#REF!</definedName>
    <definedName name="BLPH15" localSheetId="28" hidden="1">#REF!</definedName>
    <definedName name="BLPH15" localSheetId="4" hidden="1">#REF!</definedName>
    <definedName name="BLPH15" localSheetId="17" hidden="1">#REF!</definedName>
    <definedName name="BLPH15" hidden="1">#REF!</definedName>
    <definedName name="BLPH16" localSheetId="30" hidden="1">#REF!</definedName>
    <definedName name="BLPH16" localSheetId="29" hidden="1">#REF!</definedName>
    <definedName name="BLPH16" localSheetId="28" hidden="1">#REF!</definedName>
    <definedName name="BLPH16" localSheetId="4" hidden="1">#REF!</definedName>
    <definedName name="BLPH16" localSheetId="17" hidden="1">#REF!</definedName>
    <definedName name="BLPH16" hidden="1">#REF!</definedName>
    <definedName name="BLPH17" localSheetId="30" hidden="1">#REF!</definedName>
    <definedName name="BLPH17" localSheetId="29" hidden="1">#REF!</definedName>
    <definedName name="BLPH17" localSheetId="28" hidden="1">#REF!</definedName>
    <definedName name="BLPH17" localSheetId="4" hidden="1">#REF!</definedName>
    <definedName name="BLPH17" localSheetId="17" hidden="1">#REF!</definedName>
    <definedName name="BLPH17" hidden="1">#REF!</definedName>
    <definedName name="BLPH18" localSheetId="30" hidden="1">#REF!</definedName>
    <definedName name="BLPH18" localSheetId="29" hidden="1">#REF!</definedName>
    <definedName name="BLPH18" localSheetId="28" hidden="1">#REF!</definedName>
    <definedName name="BLPH18" localSheetId="4" hidden="1">#REF!</definedName>
    <definedName name="BLPH18" localSheetId="17" hidden="1">#REF!</definedName>
    <definedName name="BLPH18" hidden="1">#REF!</definedName>
    <definedName name="BLPH19" localSheetId="30" hidden="1">#REF!</definedName>
    <definedName name="BLPH19" localSheetId="29" hidden="1">#REF!</definedName>
    <definedName name="BLPH19" localSheetId="28" hidden="1">#REF!</definedName>
    <definedName name="BLPH19" localSheetId="4" hidden="1">#REF!</definedName>
    <definedName name="BLPH19" localSheetId="17" hidden="1">#REF!</definedName>
    <definedName name="BLPH19" hidden="1">#REF!</definedName>
    <definedName name="BLPH2" localSheetId="30" hidden="1">#REF!</definedName>
    <definedName name="BLPH2" localSheetId="29" hidden="1">#REF!</definedName>
    <definedName name="BLPH2" localSheetId="28" hidden="1">#REF!</definedName>
    <definedName name="BLPH2" localSheetId="4" hidden="1">#REF!</definedName>
    <definedName name="BLPH2" localSheetId="17" hidden="1">#REF!</definedName>
    <definedName name="BLPH2" hidden="1">#REF!</definedName>
    <definedName name="BLPH3" localSheetId="30" hidden="1">#REF!</definedName>
    <definedName name="BLPH3" localSheetId="29" hidden="1">#REF!</definedName>
    <definedName name="BLPH3" localSheetId="28" hidden="1">#REF!</definedName>
    <definedName name="BLPH3" localSheetId="4" hidden="1">#REF!</definedName>
    <definedName name="BLPH3" localSheetId="17" hidden="1">#REF!</definedName>
    <definedName name="BLPH3" hidden="1">#REF!</definedName>
    <definedName name="BLPH4" localSheetId="30" hidden="1">#REF!</definedName>
    <definedName name="BLPH4" localSheetId="29" hidden="1">#REF!</definedName>
    <definedName name="BLPH4" localSheetId="28" hidden="1">#REF!</definedName>
    <definedName name="BLPH4" localSheetId="4" hidden="1">#REF!</definedName>
    <definedName name="BLPH4" localSheetId="17" hidden="1">#REF!</definedName>
    <definedName name="BLPH4" hidden="1">#REF!</definedName>
    <definedName name="BLPH5" localSheetId="30" hidden="1">#REF!</definedName>
    <definedName name="BLPH5" localSheetId="29" hidden="1">#REF!</definedName>
    <definedName name="BLPH5" localSheetId="28" hidden="1">#REF!</definedName>
    <definedName name="BLPH5" localSheetId="4" hidden="1">#REF!</definedName>
    <definedName name="BLPH5" localSheetId="17" hidden="1">#REF!</definedName>
    <definedName name="BLPH5" hidden="1">#REF!</definedName>
    <definedName name="BLPH6" localSheetId="30" hidden="1">#REF!</definedName>
    <definedName name="BLPH6" localSheetId="29" hidden="1">#REF!</definedName>
    <definedName name="BLPH6" localSheetId="28" hidden="1">#REF!</definedName>
    <definedName name="BLPH6" localSheetId="4" hidden="1">#REF!</definedName>
    <definedName name="BLPH6" localSheetId="17" hidden="1">#REF!</definedName>
    <definedName name="BLPH6" hidden="1">#REF!</definedName>
    <definedName name="BLPH7" localSheetId="30" hidden="1">#REF!</definedName>
    <definedName name="BLPH7" localSheetId="29" hidden="1">#REF!</definedName>
    <definedName name="BLPH7" localSheetId="28" hidden="1">#REF!</definedName>
    <definedName name="BLPH7" localSheetId="4" hidden="1">#REF!</definedName>
    <definedName name="BLPH7" localSheetId="17" hidden="1">#REF!</definedName>
    <definedName name="BLPH7" hidden="1">#REF!</definedName>
    <definedName name="BLPH8" localSheetId="30" hidden="1">#REF!</definedName>
    <definedName name="BLPH8" localSheetId="29" hidden="1">#REF!</definedName>
    <definedName name="BLPH8" localSheetId="28" hidden="1">#REF!</definedName>
    <definedName name="BLPH8" localSheetId="4" hidden="1">#REF!</definedName>
    <definedName name="BLPH8" localSheetId="17" hidden="1">#REF!</definedName>
    <definedName name="BLPH8" hidden="1">#REF!</definedName>
    <definedName name="BLPH9" localSheetId="30" hidden="1">#REF!</definedName>
    <definedName name="BLPH9" localSheetId="29" hidden="1">#REF!</definedName>
    <definedName name="BLPH9" localSheetId="28" hidden="1">#REF!</definedName>
    <definedName name="BLPH9" localSheetId="4" hidden="1">#REF!</definedName>
    <definedName name="BLPH9" localSheetId="17" hidden="1">#REF!</definedName>
    <definedName name="BLPH9" hidden="1">#REF!</definedName>
    <definedName name="costo">Supuestos!$D$22</definedName>
    <definedName name="CUADRO34" localSheetId="30">#REF!</definedName>
    <definedName name="CUADRO34" localSheetId="29">#REF!</definedName>
    <definedName name="CUADRO34" localSheetId="28">#REF!</definedName>
    <definedName name="CUADRO34" localSheetId="4">#REF!</definedName>
    <definedName name="CUADRO34" localSheetId="7">RiesgoPais!$B$1:$R$271</definedName>
    <definedName name="CUADRO34" localSheetId="17">#REF!</definedName>
    <definedName name="CUADRO34">#REF!</definedName>
    <definedName name="HTML_CodePage" hidden="1">1252</definedName>
    <definedName name="HTML_Control" localSheetId="30" hidden="1">{"'Sheet1'!$A$1:$G$85"}</definedName>
    <definedName name="HTML_Control" localSheetId="29" hidden="1">{"'Sheet1'!$A$1:$G$85"}</definedName>
    <definedName name="HTML_Control" localSheetId="28" hidden="1">{"'Sheet1'!$A$1:$G$85"}</definedName>
    <definedName name="HTML_Control" localSheetId="8" hidden="1">{"'Sheet1'!$A$1:$H$145"}</definedName>
    <definedName name="HTML_Control" hidden="1">{"'Sheet1'!$A$1:$G$85"}</definedName>
    <definedName name="HTML_Description" hidden="1">""</definedName>
    <definedName name="HTML_Email" hidden="1">""</definedName>
    <definedName name="HTML_Header" localSheetId="8" hidden="1">"Country Risk Premiums"</definedName>
    <definedName name="HTML_Header" hidden="1">"Sheet1"</definedName>
    <definedName name="HTML_LastUpdate" localSheetId="8" hidden="1">"2/19/99"</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localSheetId="8" hidden="1">"Macintosh HD:HomePageStuff:New_Home_Page:datafile:ctryprem.html"</definedName>
    <definedName name="HTML_PathFileMac" hidden="1">"Macintosh HD:HomePageStuff:New_Home_Page:datafile:histret.html"</definedName>
    <definedName name="HTML_Title" localSheetId="8" hidden="1">"Country Risk Premiums"</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newFinancialsPeriod">[1]DataH!$A$17:$A$19</definedName>
    <definedName name="solver_adj" localSheetId="19" hidden="1">'Flujo de Caja'!$K$32:$K$33</definedName>
    <definedName name="solver_cvg" localSheetId="19" hidden="1">0.0001</definedName>
    <definedName name="solver_drv" localSheetId="19" hidden="1">2</definedName>
    <definedName name="solver_eng" localSheetId="19" hidden="1">1</definedName>
    <definedName name="solver_est" localSheetId="19" hidden="1">1</definedName>
    <definedName name="solver_itr" localSheetId="19" hidden="1">2147483647</definedName>
    <definedName name="solver_lhs1" localSheetId="19" hidden="1">'Flujo de Caja'!$L$34</definedName>
    <definedName name="solver_mip" localSheetId="19" hidden="1">2147483647</definedName>
    <definedName name="solver_mni" localSheetId="19" hidden="1">30</definedName>
    <definedName name="solver_mrt" localSheetId="19" hidden="1">0.075</definedName>
    <definedName name="solver_msl" localSheetId="19" hidden="1">2</definedName>
    <definedName name="solver_neg" localSheetId="19" hidden="1">1</definedName>
    <definedName name="solver_nod" localSheetId="19" hidden="1">2147483647</definedName>
    <definedName name="solver_num" localSheetId="19" hidden="1">1</definedName>
    <definedName name="solver_nwt" localSheetId="19" hidden="1">1</definedName>
    <definedName name="solver_opt" localSheetId="19" hidden="1">'Flujo de Caja'!$L$35</definedName>
    <definedName name="solver_pre" localSheetId="19" hidden="1">0.000001</definedName>
    <definedName name="solver_rbv" localSheetId="19" hidden="1">2</definedName>
    <definedName name="solver_rel1" localSheetId="19" hidden="1">2</definedName>
    <definedName name="solver_rhs1" localSheetId="19" hidden="1">'Flujo de Caja'!$K$34</definedName>
    <definedName name="solver_rlx" localSheetId="19" hidden="1">2</definedName>
    <definedName name="solver_rsd" localSheetId="19" hidden="1">0</definedName>
    <definedName name="solver_scl" localSheetId="19" hidden="1">2</definedName>
    <definedName name="solver_sho" localSheetId="19" hidden="1">2</definedName>
    <definedName name="solver_ssz" localSheetId="19" hidden="1">100</definedName>
    <definedName name="solver_tim" localSheetId="19" hidden="1">2147483647</definedName>
    <definedName name="solver_tol" localSheetId="19" hidden="1">0.01</definedName>
    <definedName name="solver_typ" localSheetId="19" hidden="1">3</definedName>
    <definedName name="solver_val" localSheetId="19" hidden="1">0</definedName>
    <definedName name="solver_ver" localSheetId="19" hidden="1">3</definedName>
    <definedName name="_xlnm.Print_Titles" localSheetId="5">Betas!$8:$8</definedName>
  </definedNames>
  <calcPr calcId="152511"/>
</workbook>
</file>

<file path=xl/calcChain.xml><?xml version="1.0" encoding="utf-8"?>
<calcChain xmlns="http://schemas.openxmlformats.org/spreadsheetml/2006/main">
  <c r="K49" i="40" l="1"/>
  <c r="Q29" i="19" l="1"/>
  <c r="Q25" i="19"/>
  <c r="N79" i="23"/>
  <c r="E20" i="37"/>
  <c r="I22" i="20"/>
  <c r="N23" i="19" l="1"/>
  <c r="C18" i="1"/>
  <c r="C21" i="1"/>
  <c r="E24" i="37" l="1"/>
  <c r="E19" i="37"/>
  <c r="M79" i="23"/>
  <c r="L79" i="23"/>
  <c r="K79" i="23"/>
  <c r="J79" i="23"/>
  <c r="U21" i="29" l="1"/>
  <c r="L93" i="40" l="1"/>
  <c r="K94" i="40"/>
  <c r="L94" i="40"/>
  <c r="M94" i="40"/>
  <c r="N94" i="40"/>
  <c r="O94" i="40"/>
  <c r="L50" i="40" l="1"/>
  <c r="M50" i="40" l="1"/>
  <c r="L77" i="40"/>
  <c r="L81" i="40" s="1"/>
  <c r="L54" i="40"/>
  <c r="M54" i="40"/>
  <c r="N54" i="40"/>
  <c r="O54" i="40"/>
  <c r="K54" i="40"/>
  <c r="AP32" i="30"/>
  <c r="O71" i="40" s="1"/>
  <c r="AL32" i="30"/>
  <c r="K71" i="40" s="1"/>
  <c r="M77" i="40" l="1"/>
  <c r="N50" i="40"/>
  <c r="N49" i="40" s="1"/>
  <c r="L49" i="40"/>
  <c r="M49" i="40"/>
  <c r="K55" i="2"/>
  <c r="O50" i="40" l="1"/>
  <c r="N77" i="40"/>
  <c r="N81" i="40" s="1"/>
  <c r="O81" i="40" l="1"/>
  <c r="O49" i="40"/>
  <c r="H75" i="40"/>
  <c r="J56" i="40"/>
  <c r="E73" i="40" l="1"/>
  <c r="F73" i="40"/>
  <c r="G73" i="40"/>
  <c r="I81" i="40"/>
  <c r="E81" i="40"/>
  <c r="H73" i="40"/>
  <c r="I73" i="40"/>
  <c r="J73" i="40"/>
  <c r="E57" i="32"/>
  <c r="G81" i="40" l="1"/>
  <c r="H81" i="40"/>
  <c r="J81" i="40"/>
  <c r="F81" i="40"/>
  <c r="J54" i="37" l="1"/>
  <c r="C22" i="8" l="1"/>
  <c r="H55" i="32" l="1"/>
  <c r="G55" i="32"/>
  <c r="F55" i="32"/>
  <c r="E55" i="32"/>
  <c r="D55" i="32"/>
  <c r="H54" i="32"/>
  <c r="G54" i="32"/>
  <c r="F54" i="32"/>
  <c r="E54" i="32"/>
  <c r="D54" i="32"/>
  <c r="H57" i="32"/>
  <c r="G57" i="32"/>
  <c r="F57" i="32"/>
  <c r="D57" i="32"/>
  <c r="C57" i="32"/>
  <c r="C55" i="32"/>
  <c r="C54" i="32"/>
  <c r="F10" i="12" l="1"/>
  <c r="F11" i="12"/>
  <c r="D39" i="20" l="1"/>
  <c r="B37" i="20"/>
  <c r="D22" i="21" l="1"/>
  <c r="E22" i="21" s="1"/>
  <c r="AH28" i="29"/>
  <c r="AI28" i="29" s="1"/>
  <c r="N29" i="31" l="1"/>
  <c r="E17" i="37"/>
  <c r="H56" i="37" l="1"/>
  <c r="H55" i="37"/>
  <c r="F53" i="37"/>
  <c r="F55" i="37" l="1"/>
  <c r="F44" i="28"/>
  <c r="G54" i="37" l="1"/>
  <c r="G52" i="37"/>
  <c r="G51" i="37"/>
  <c r="G50" i="37"/>
  <c r="G53" i="37"/>
  <c r="K35" i="20"/>
  <c r="G55" i="37" l="1"/>
  <c r="C9" i="38"/>
  <c r="D9" i="38"/>
  <c r="C8" i="38"/>
  <c r="D8" i="38"/>
  <c r="E8" i="38" s="1"/>
  <c r="C16" i="38" s="1"/>
  <c r="H25" i="38"/>
  <c r="H24" i="38"/>
  <c r="E9" i="38" l="1"/>
  <c r="C17" i="38" s="1"/>
  <c r="D16" i="38"/>
  <c r="D17" i="38" l="1"/>
  <c r="E17" i="38" s="1"/>
  <c r="E16" i="38"/>
  <c r="E22" i="20"/>
  <c r="G35" i="20"/>
  <c r="E61" i="38"/>
  <c r="I60" i="38"/>
  <c r="E60" i="38"/>
  <c r="H59" i="38"/>
  <c r="J59" i="38" s="1"/>
  <c r="E59" i="38"/>
  <c r="H58" i="38"/>
  <c r="J58" i="38" s="1"/>
  <c r="E58" i="38"/>
  <c r="E53" i="38"/>
  <c r="I52" i="38"/>
  <c r="E52" i="38"/>
  <c r="H51" i="38"/>
  <c r="E51" i="38"/>
  <c r="H50" i="38"/>
  <c r="E50" i="38"/>
  <c r="E45" i="38"/>
  <c r="I44" i="38"/>
  <c r="E44" i="38"/>
  <c r="H43" i="38"/>
  <c r="G8" i="38" s="1"/>
  <c r="E43" i="38"/>
  <c r="H42" i="38"/>
  <c r="F8" i="38" s="1"/>
  <c r="E42" i="38"/>
  <c r="E37" i="38"/>
  <c r="E36" i="38"/>
  <c r="I35" i="38"/>
  <c r="E35" i="38"/>
  <c r="H34" i="38"/>
  <c r="J34" i="38" s="1"/>
  <c r="E34" i="38"/>
  <c r="H33" i="38"/>
  <c r="J33" i="38" s="1"/>
  <c r="E33" i="38"/>
  <c r="E28" i="38"/>
  <c r="E27" i="38"/>
  <c r="I26" i="38"/>
  <c r="E26" i="38"/>
  <c r="G6" i="38"/>
  <c r="E25" i="38"/>
  <c r="F6" i="38"/>
  <c r="E24" i="38"/>
  <c r="F10" i="38"/>
  <c r="D10" i="38"/>
  <c r="C10" i="38"/>
  <c r="D7" i="38"/>
  <c r="C7" i="38"/>
  <c r="D6" i="38"/>
  <c r="C6" i="38"/>
  <c r="G10" i="38" l="1"/>
  <c r="H18" i="38" s="1"/>
  <c r="J8" i="38"/>
  <c r="J50" i="38"/>
  <c r="F9" i="38"/>
  <c r="H16" i="38"/>
  <c r="I8" i="38"/>
  <c r="J51" i="38"/>
  <c r="J52" i="38" s="1"/>
  <c r="H52" i="38" s="1"/>
  <c r="G9" i="38"/>
  <c r="J9" i="38" s="1"/>
  <c r="J43" i="38"/>
  <c r="I10" i="38"/>
  <c r="E7" i="38"/>
  <c r="C15" i="38" s="1"/>
  <c r="J35" i="38"/>
  <c r="H35" i="38" s="1"/>
  <c r="H45" i="38"/>
  <c r="H14" i="38"/>
  <c r="C11" i="38"/>
  <c r="D11" i="38"/>
  <c r="J60" i="38"/>
  <c r="H60" i="38" s="1"/>
  <c r="F7" i="38"/>
  <c r="E10" i="38"/>
  <c r="C18" i="38" s="1"/>
  <c r="E6" i="38"/>
  <c r="C14" i="38" s="1"/>
  <c r="G7" i="38"/>
  <c r="I6" i="38"/>
  <c r="J6" i="38"/>
  <c r="J24" i="38"/>
  <c r="J42" i="38"/>
  <c r="J25" i="38"/>
  <c r="J7" i="38" l="1"/>
  <c r="J10" i="38"/>
  <c r="K10" i="38" s="1"/>
  <c r="L18" i="38" s="1"/>
  <c r="J44" i="38"/>
  <c r="H44" i="38" s="1"/>
  <c r="D18" i="38"/>
  <c r="E18" i="38" s="1"/>
  <c r="H17" i="38"/>
  <c r="I9" i="38"/>
  <c r="K8" i="38"/>
  <c r="H8" i="38" s="1"/>
  <c r="H15" i="38"/>
  <c r="K34" i="20" s="1"/>
  <c r="J26" i="38"/>
  <c r="H26" i="38" s="1"/>
  <c r="D15" i="38"/>
  <c r="E15" i="38" s="1"/>
  <c r="D14" i="38"/>
  <c r="E14" i="38" s="1"/>
  <c r="I7" i="38"/>
  <c r="K7" i="38" s="1"/>
  <c r="H7" i="38" s="1"/>
  <c r="G15" i="38" s="1"/>
  <c r="E11" i="38"/>
  <c r="K6" i="38"/>
  <c r="L14" i="38" s="1"/>
  <c r="J11" i="38"/>
  <c r="G7" i="13"/>
  <c r="G12" i="13"/>
  <c r="G16" i="13"/>
  <c r="G19" i="13" l="1"/>
  <c r="F5" i="1" s="1"/>
  <c r="F15" i="38"/>
  <c r="I15" i="38" s="1"/>
  <c r="H10" i="38"/>
  <c r="M16" i="38"/>
  <c r="L16" i="38"/>
  <c r="G16" i="38"/>
  <c r="J16" i="38" s="1"/>
  <c r="F16" i="38"/>
  <c r="I16" i="38" s="1"/>
  <c r="K9" i="38"/>
  <c r="L17" i="38" s="1"/>
  <c r="M18" i="38"/>
  <c r="M14" i="38"/>
  <c r="G18" i="38"/>
  <c r="J18" i="38" s="1"/>
  <c r="F18" i="38"/>
  <c r="I18" i="38" s="1"/>
  <c r="M15" i="38"/>
  <c r="H6" i="38"/>
  <c r="F14" i="38" s="1"/>
  <c r="I14" i="38" s="1"/>
  <c r="J15" i="38"/>
  <c r="I11" i="38"/>
  <c r="L15" i="38"/>
  <c r="C19" i="38"/>
  <c r="D19" i="38"/>
  <c r="K15" i="38" l="1"/>
  <c r="K16" i="38"/>
  <c r="E56" i="32"/>
  <c r="E58" i="32" s="1"/>
  <c r="E59" i="32" s="1"/>
  <c r="E36" i="32" s="1"/>
  <c r="D56" i="32"/>
  <c r="D58" i="32" s="1"/>
  <c r="D59" i="32" s="1"/>
  <c r="D36" i="32" s="1"/>
  <c r="C56" i="32"/>
  <c r="C58" i="32" s="1"/>
  <c r="C59" i="32" s="1"/>
  <c r="C36" i="32" s="1"/>
  <c r="H56" i="32"/>
  <c r="H58" i="32" s="1"/>
  <c r="H59" i="32" s="1"/>
  <c r="H36" i="32" s="1"/>
  <c r="G56" i="32"/>
  <c r="G58" i="32" s="1"/>
  <c r="G59" i="32" s="1"/>
  <c r="G36" i="32" s="1"/>
  <c r="F56" i="32"/>
  <c r="F58" i="32" s="1"/>
  <c r="F59" i="32" s="1"/>
  <c r="F36" i="32" s="1"/>
  <c r="H9" i="38"/>
  <c r="M17" i="38"/>
  <c r="K11" i="38"/>
  <c r="H11" i="38" s="1"/>
  <c r="K18" i="38"/>
  <c r="E19" i="38"/>
  <c r="G14" i="38"/>
  <c r="J14" i="38" s="1"/>
  <c r="K14" i="38" s="1"/>
  <c r="E28" i="21"/>
  <c r="AM32" i="30" s="1"/>
  <c r="L71" i="40" s="1"/>
  <c r="F22" i="20" l="1"/>
  <c r="J19" i="38"/>
  <c r="G19" i="38" s="1"/>
  <c r="J20" i="38" s="1"/>
  <c r="I19" i="38"/>
  <c r="F19" i="38" s="1"/>
  <c r="I20" i="38" s="1"/>
  <c r="L19" i="38"/>
  <c r="M19" i="38"/>
  <c r="F17" i="38"/>
  <c r="I17" i="38" s="1"/>
  <c r="G17" i="38"/>
  <c r="J17" i="38" s="1"/>
  <c r="F28" i="21"/>
  <c r="AN32" i="30" s="1"/>
  <c r="M71" i="40" s="1"/>
  <c r="K19" i="38" l="1"/>
  <c r="G11" i="38"/>
  <c r="K17" i="38"/>
  <c r="F11" i="38"/>
  <c r="G28" i="21"/>
  <c r="G22" i="20"/>
  <c r="AO32" i="30" l="1"/>
  <c r="N71" i="40" s="1"/>
  <c r="H12" i="38"/>
  <c r="K12" i="38"/>
  <c r="H22" i="20"/>
  <c r="F17" i="32" l="1"/>
  <c r="H25" i="28"/>
  <c r="E18" i="37" l="1"/>
  <c r="E41" i="37" l="1"/>
  <c r="C10" i="39"/>
  <c r="I32" i="20"/>
  <c r="D38" i="20" s="1"/>
  <c r="I34" i="20" l="1"/>
  <c r="J32" i="20" s="1"/>
  <c r="N35" i="19"/>
  <c r="J31" i="20" l="1"/>
  <c r="J30" i="20"/>
  <c r="J29" i="20"/>
  <c r="J34" i="20"/>
  <c r="J33" i="20"/>
  <c r="O12" i="13"/>
  <c r="P12" i="13" s="1"/>
  <c r="O11" i="13"/>
  <c r="P11" i="13" s="1"/>
  <c r="N13" i="13"/>
  <c r="L13" i="13"/>
  <c r="P13" i="13" l="1"/>
  <c r="O13" i="13"/>
  <c r="E24" i="21"/>
  <c r="F24" i="21" s="1"/>
  <c r="G24" i="21" s="1"/>
  <c r="H24" i="21" s="1"/>
  <c r="E23" i="21"/>
  <c r="F23" i="21" s="1"/>
  <c r="G23" i="21" s="1"/>
  <c r="H23" i="21" s="1"/>
  <c r="F22" i="21"/>
  <c r="G22" i="21" s="1"/>
  <c r="E65" i="37" l="1"/>
  <c r="N33" i="20"/>
  <c r="K54" i="37" s="1"/>
  <c r="C7" i="1"/>
  <c r="H5" i="1" l="1"/>
  <c r="H6" i="1"/>
  <c r="C35" i="32"/>
  <c r="D35" i="32" s="1"/>
  <c r="E35" i="32" s="1"/>
  <c r="F21" i="28"/>
  <c r="H8" i="36"/>
  <c r="H9" i="36"/>
  <c r="H10" i="36"/>
  <c r="H11" i="36"/>
  <c r="H12" i="36"/>
  <c r="H13" i="36"/>
  <c r="H14" i="36"/>
  <c r="H15" i="36"/>
  <c r="H16" i="36"/>
  <c r="H17" i="36"/>
  <c r="H18" i="36"/>
  <c r="H19" i="36"/>
  <c r="H20" i="36"/>
  <c r="H21" i="36"/>
  <c r="H22" i="36"/>
  <c r="H23" i="36"/>
  <c r="H24" i="36"/>
  <c r="H25" i="36"/>
  <c r="H26" i="36"/>
  <c r="H27" i="36"/>
  <c r="H28" i="36"/>
  <c r="H29" i="36"/>
  <c r="H30" i="36"/>
  <c r="H31" i="36"/>
  <c r="H32" i="36"/>
  <c r="H33" i="36"/>
  <c r="H34" i="36"/>
  <c r="H35" i="36"/>
  <c r="H36" i="36"/>
  <c r="H37" i="36"/>
  <c r="H38" i="36"/>
  <c r="H39" i="36"/>
  <c r="H40" i="36"/>
  <c r="H41" i="36"/>
  <c r="H42" i="36"/>
  <c r="H43" i="36"/>
  <c r="H44" i="36"/>
  <c r="H45" i="36"/>
  <c r="H46" i="36"/>
  <c r="H47" i="36"/>
  <c r="H48" i="36"/>
  <c r="H49" i="36"/>
  <c r="H50" i="36"/>
  <c r="H51" i="36"/>
  <c r="H52" i="36"/>
  <c r="H53" i="36"/>
  <c r="H54" i="36"/>
  <c r="H55" i="36"/>
  <c r="H56" i="36"/>
  <c r="H57" i="36"/>
  <c r="H58" i="36"/>
  <c r="H59" i="36"/>
  <c r="H60" i="36"/>
  <c r="H61" i="36"/>
  <c r="H62" i="36"/>
  <c r="H63" i="36"/>
  <c r="H64" i="36"/>
  <c r="H65" i="36"/>
  <c r="H66" i="36"/>
  <c r="H67" i="36"/>
  <c r="H68" i="36"/>
  <c r="H69" i="36"/>
  <c r="H70" i="36"/>
  <c r="H71" i="36"/>
  <c r="H72" i="36"/>
  <c r="H73" i="36"/>
  <c r="H74" i="36"/>
  <c r="H75" i="36"/>
  <c r="H76" i="36"/>
  <c r="H77" i="36"/>
  <c r="H78" i="36"/>
  <c r="D143" i="36"/>
  <c r="D142" i="36"/>
  <c r="D141" i="36"/>
  <c r="D140" i="36"/>
  <c r="D139" i="36"/>
  <c r="D138" i="36"/>
  <c r="D137" i="36"/>
  <c r="D136" i="36"/>
  <c r="D135" i="36"/>
  <c r="D134" i="36"/>
  <c r="D133" i="36"/>
  <c r="D132" i="36"/>
  <c r="D131" i="36"/>
  <c r="D130" i="36"/>
  <c r="D129" i="36"/>
  <c r="D128" i="36"/>
  <c r="D127" i="36"/>
  <c r="D126" i="36"/>
  <c r="D125" i="36"/>
  <c r="D124" i="36"/>
  <c r="D123" i="36"/>
  <c r="D122" i="36"/>
  <c r="D121" i="36"/>
  <c r="D120" i="36"/>
  <c r="D119" i="36"/>
  <c r="D118" i="36"/>
  <c r="D117" i="36"/>
  <c r="D116" i="36"/>
  <c r="D115" i="36"/>
  <c r="D114" i="36"/>
  <c r="D113" i="36"/>
  <c r="D112" i="36"/>
  <c r="D111" i="36"/>
  <c r="D110" i="36"/>
  <c r="D109" i="36"/>
  <c r="D108" i="36"/>
  <c r="D107" i="36"/>
  <c r="D106" i="36"/>
  <c r="D105" i="36"/>
  <c r="D104" i="36"/>
  <c r="D103" i="36"/>
  <c r="D102" i="36"/>
  <c r="D101" i="36"/>
  <c r="D100" i="36"/>
  <c r="D99" i="36"/>
  <c r="D98" i="36"/>
  <c r="D97" i="36"/>
  <c r="D96" i="36"/>
  <c r="D95" i="36"/>
  <c r="D94" i="36"/>
  <c r="D93" i="36"/>
  <c r="D92" i="36"/>
  <c r="D91" i="36"/>
  <c r="D90" i="36"/>
  <c r="D89" i="36"/>
  <c r="D88" i="36"/>
  <c r="D87" i="36"/>
  <c r="D86" i="36"/>
  <c r="D85" i="36"/>
  <c r="D84" i="36"/>
  <c r="D83" i="36"/>
  <c r="D82" i="36"/>
  <c r="D81" i="36"/>
  <c r="D80" i="36"/>
  <c r="D79" i="36"/>
  <c r="D78" i="36"/>
  <c r="D77" i="36"/>
  <c r="D76" i="36"/>
  <c r="D75" i="36"/>
  <c r="D74" i="36"/>
  <c r="D73" i="36"/>
  <c r="D72" i="36"/>
  <c r="D71" i="36"/>
  <c r="D70" i="36"/>
  <c r="D69" i="36"/>
  <c r="D68" i="36"/>
  <c r="D67" i="36"/>
  <c r="D66" i="36"/>
  <c r="D65" i="36"/>
  <c r="D64" i="36"/>
  <c r="D63" i="36"/>
  <c r="D62" i="36"/>
  <c r="D61" i="36"/>
  <c r="D60" i="36"/>
  <c r="D59" i="36"/>
  <c r="D58" i="36"/>
  <c r="D57" i="36"/>
  <c r="D56" i="36"/>
  <c r="D55" i="36"/>
  <c r="D54" i="36"/>
  <c r="D53" i="36"/>
  <c r="D52" i="36"/>
  <c r="D51" i="36"/>
  <c r="D50" i="36"/>
  <c r="D49" i="36"/>
  <c r="D48" i="36"/>
  <c r="D47" i="36"/>
  <c r="D46" i="36"/>
  <c r="D45" i="36"/>
  <c r="D44" i="36"/>
  <c r="D43" i="36"/>
  <c r="D42" i="36"/>
  <c r="D41" i="36"/>
  <c r="D40" i="36"/>
  <c r="D39" i="36"/>
  <c r="D38" i="36"/>
  <c r="D37" i="36"/>
  <c r="D36" i="36"/>
  <c r="D35" i="36"/>
  <c r="D34" i="36"/>
  <c r="D33" i="36"/>
  <c r="D32" i="36"/>
  <c r="D31" i="36"/>
  <c r="D30" i="36"/>
  <c r="D29" i="36"/>
  <c r="D28" i="36"/>
  <c r="D27" i="36"/>
  <c r="D26" i="36"/>
  <c r="D25" i="36"/>
  <c r="D24" i="36"/>
  <c r="D23" i="36"/>
  <c r="D22" i="36"/>
  <c r="D21" i="36"/>
  <c r="D20" i="36"/>
  <c r="D19" i="36"/>
  <c r="D18" i="36"/>
  <c r="D17" i="36"/>
  <c r="D16" i="36"/>
  <c r="D15" i="36"/>
  <c r="D14" i="36"/>
  <c r="D13" i="36"/>
  <c r="D12" i="36"/>
  <c r="D11" i="36"/>
  <c r="D10" i="36"/>
  <c r="D9" i="36"/>
  <c r="D8" i="36"/>
  <c r="D4" i="36" l="1"/>
  <c r="D5" i="36" s="1"/>
  <c r="K3" i="36" s="1"/>
  <c r="C22" i="1" s="1"/>
  <c r="H4" i="36"/>
  <c r="H5" i="36" s="1"/>
  <c r="F35" i="32"/>
  <c r="G35" i="32" s="1"/>
  <c r="H35" i="32" s="1"/>
  <c r="E24" i="32"/>
  <c r="D6" i="1"/>
  <c r="O7" i="13"/>
  <c r="P7" i="13" s="1"/>
  <c r="N8" i="13"/>
  <c r="N15" i="13" s="1"/>
  <c r="L8" i="13"/>
  <c r="L15" i="13" s="1"/>
  <c r="C35" i="1" l="1"/>
  <c r="O15" i="13"/>
  <c r="Q13" i="13" s="1"/>
  <c r="E6" i="1"/>
  <c r="O31" i="19"/>
  <c r="P31" i="19"/>
  <c r="O8" i="13"/>
  <c r="O19" i="13" s="1"/>
  <c r="O6" i="13"/>
  <c r="P6" i="13" s="1"/>
  <c r="P8" i="13" s="1"/>
  <c r="N32" i="20" l="1"/>
  <c r="K53" i="37" s="1"/>
  <c r="N31" i="20"/>
  <c r="K52" i="37" s="1"/>
  <c r="N29" i="20"/>
  <c r="K50" i="37" s="1"/>
  <c r="N30" i="20"/>
  <c r="K51" i="37" s="1"/>
  <c r="Q8" i="13"/>
  <c r="R31" i="19"/>
  <c r="Q31" i="19"/>
  <c r="E36" i="28" l="1"/>
  <c r="E35" i="28"/>
  <c r="D36" i="28"/>
  <c r="D35" i="28"/>
  <c r="F20" i="28"/>
  <c r="F19" i="28"/>
  <c r="J36" i="28"/>
  <c r="J35" i="28"/>
  <c r="I36" i="28"/>
  <c r="I35" i="28"/>
  <c r="G36" i="28"/>
  <c r="H36" i="28"/>
  <c r="H35" i="28"/>
  <c r="G35" i="28"/>
  <c r="F36" i="28"/>
  <c r="F35" i="28"/>
  <c r="AR6" i="16" l="1"/>
  <c r="AS6" i="16"/>
  <c r="AV6" i="16"/>
  <c r="AW6" i="16"/>
  <c r="AR7" i="16"/>
  <c r="AS7" i="16"/>
  <c r="AT7" i="16"/>
  <c r="AU7" i="16"/>
  <c r="AV7" i="16"/>
  <c r="AW7" i="16"/>
  <c r="AR8" i="16"/>
  <c r="AS8" i="16"/>
  <c r="AT8" i="16"/>
  <c r="AU8" i="16"/>
  <c r="AV8" i="16"/>
  <c r="AW8" i="16"/>
  <c r="AR9" i="16"/>
  <c r="AS9" i="16"/>
  <c r="AT9" i="16"/>
  <c r="AU9" i="16"/>
  <c r="AV9" i="16"/>
  <c r="AW9" i="16"/>
  <c r="AX7" i="16"/>
  <c r="AX8" i="16"/>
  <c r="AX9" i="16"/>
  <c r="AX6" i="16"/>
  <c r="K18" i="2" l="1"/>
  <c r="Y21" i="29"/>
  <c r="X21" i="29"/>
  <c r="W21" i="29"/>
  <c r="V21" i="29"/>
  <c r="T21" i="29"/>
  <c r="M16" i="29"/>
  <c r="N16" i="29"/>
  <c r="O16" i="29"/>
  <c r="P16" i="29"/>
  <c r="Q16" i="29"/>
  <c r="L16" i="29"/>
  <c r="T16" i="29" s="1"/>
  <c r="C20" i="29"/>
  <c r="D20" i="29"/>
  <c r="E20" i="29"/>
  <c r="F20" i="29"/>
  <c r="G20" i="29"/>
  <c r="H20" i="29"/>
  <c r="I20" i="29"/>
  <c r="C21" i="29"/>
  <c r="D21" i="29"/>
  <c r="E21" i="29"/>
  <c r="F21" i="29"/>
  <c r="G21" i="29"/>
  <c r="H21" i="29"/>
  <c r="I21" i="29"/>
  <c r="D19" i="29"/>
  <c r="E19" i="29"/>
  <c r="F19" i="29"/>
  <c r="G19" i="29"/>
  <c r="H19" i="29"/>
  <c r="I19" i="29"/>
  <c r="C19" i="29"/>
  <c r="P13" i="16"/>
  <c r="Q13" i="16"/>
  <c r="O13" i="16"/>
  <c r="N13" i="16"/>
  <c r="M13" i="16"/>
  <c r="L13" i="16"/>
  <c r="K13" i="16"/>
  <c r="V30" i="30"/>
  <c r="W30" i="30"/>
  <c r="X30" i="30"/>
  <c r="Y30" i="30"/>
  <c r="Z30" i="30"/>
  <c r="AA30" i="30"/>
  <c r="V31" i="30"/>
  <c r="W31" i="30"/>
  <c r="X31" i="30"/>
  <c r="Y31" i="30"/>
  <c r="Z31" i="30"/>
  <c r="AA31" i="30"/>
  <c r="V32" i="30"/>
  <c r="W32" i="30"/>
  <c r="X32" i="30"/>
  <c r="Y32" i="30"/>
  <c r="Z32" i="30"/>
  <c r="AA32" i="30"/>
  <c r="W29" i="30"/>
  <c r="X29" i="30"/>
  <c r="Y29" i="30"/>
  <c r="Z29" i="30"/>
  <c r="AA29" i="30"/>
  <c r="V29" i="30"/>
  <c r="AA18" i="30"/>
  <c r="AA23" i="30" s="1"/>
  <c r="Z18" i="30"/>
  <c r="Z22" i="30" s="1"/>
  <c r="Y18" i="30"/>
  <c r="Y22" i="30" s="1"/>
  <c r="X18" i="30"/>
  <c r="X21" i="30" s="1"/>
  <c r="W18" i="30"/>
  <c r="W21" i="30" s="1"/>
  <c r="V18" i="30"/>
  <c r="V23" i="30" s="1"/>
  <c r="D29" i="29"/>
  <c r="E29" i="29"/>
  <c r="F29" i="29"/>
  <c r="G29" i="29"/>
  <c r="H29" i="29"/>
  <c r="I29" i="29"/>
  <c r="C29" i="29"/>
  <c r="C22" i="29"/>
  <c r="D22" i="29"/>
  <c r="E22" i="29"/>
  <c r="F22" i="29"/>
  <c r="G22" i="29"/>
  <c r="H22" i="29"/>
  <c r="I22" i="29"/>
  <c r="C23" i="29"/>
  <c r="D23" i="29"/>
  <c r="E23" i="29"/>
  <c r="F23" i="29"/>
  <c r="G23" i="29"/>
  <c r="H23" i="29"/>
  <c r="I23" i="29"/>
  <c r="E24" i="29"/>
  <c r="F24" i="29"/>
  <c r="G24" i="29"/>
  <c r="H24" i="29"/>
  <c r="I24" i="29"/>
  <c r="C25" i="29"/>
  <c r="D25" i="29"/>
  <c r="E25" i="29"/>
  <c r="F25" i="29"/>
  <c r="G25" i="29"/>
  <c r="H25" i="29"/>
  <c r="I25" i="29"/>
  <c r="C26" i="29"/>
  <c r="D26" i="29"/>
  <c r="E26" i="29"/>
  <c r="F26" i="29"/>
  <c r="G26" i="29"/>
  <c r="H26" i="29"/>
  <c r="I26" i="29"/>
  <c r="I12" i="29"/>
  <c r="I15" i="29" s="1"/>
  <c r="H12" i="29"/>
  <c r="H15" i="29" s="1"/>
  <c r="G12" i="29"/>
  <c r="G15" i="29" s="1"/>
  <c r="F12" i="29"/>
  <c r="F15" i="29" s="1"/>
  <c r="E12" i="29"/>
  <c r="E15" i="29" s="1"/>
  <c r="D9" i="29"/>
  <c r="D12" i="29" s="1"/>
  <c r="D15" i="29" s="1"/>
  <c r="C9" i="29"/>
  <c r="C12" i="29" s="1"/>
  <c r="C15" i="29" s="1"/>
  <c r="D24" i="29" l="1"/>
  <c r="C24" i="29"/>
  <c r="Y23" i="30"/>
  <c r="AA20" i="30"/>
  <c r="X20" i="30"/>
  <c r="W22" i="30"/>
  <c r="V20" i="30"/>
  <c r="Z23" i="30"/>
  <c r="X22" i="30"/>
  <c r="V21" i="30"/>
  <c r="Z20" i="30"/>
  <c r="X23" i="30"/>
  <c r="V22" i="30"/>
  <c r="Y20" i="30"/>
  <c r="W23" i="30"/>
  <c r="AA21" i="30"/>
  <c r="Z21" i="30"/>
  <c r="W20" i="30"/>
  <c r="AA22" i="30"/>
  <c r="Y21" i="30"/>
  <c r="Q56" i="2" l="1"/>
  <c r="P56" i="2"/>
  <c r="E57" i="40" s="1"/>
  <c r="O56" i="2"/>
  <c r="F57" i="40" s="1"/>
  <c r="N56" i="2"/>
  <c r="G57" i="40" s="1"/>
  <c r="M56" i="2"/>
  <c r="H57" i="40" s="1"/>
  <c r="L56" i="2"/>
  <c r="I57" i="40" s="1"/>
  <c r="K56" i="2"/>
  <c r="J57" i="40" s="1"/>
  <c r="Q55" i="2"/>
  <c r="P55" i="2"/>
  <c r="E56" i="40" s="1"/>
  <c r="O55" i="2"/>
  <c r="F56" i="40" s="1"/>
  <c r="N55" i="2"/>
  <c r="G56" i="40" s="1"/>
  <c r="M55" i="2"/>
  <c r="H56" i="40" s="1"/>
  <c r="L55" i="2"/>
  <c r="I56" i="40" s="1"/>
  <c r="Q54" i="2"/>
  <c r="P54" i="2"/>
  <c r="O54" i="2"/>
  <c r="N54" i="2"/>
  <c r="M54" i="2"/>
  <c r="L54" i="2"/>
  <c r="K54" i="2"/>
  <c r="Q53" i="2"/>
  <c r="P53" i="2"/>
  <c r="O53" i="2"/>
  <c r="N53" i="2"/>
  <c r="M53" i="2"/>
  <c r="L53" i="2"/>
  <c r="K53" i="2"/>
  <c r="Q52" i="2"/>
  <c r="P52" i="2"/>
  <c r="O52" i="2"/>
  <c r="N52" i="2"/>
  <c r="M52" i="2"/>
  <c r="L52" i="2"/>
  <c r="K52" i="2"/>
  <c r="Q51" i="2"/>
  <c r="P51" i="2"/>
  <c r="O51" i="2"/>
  <c r="N51" i="2"/>
  <c r="M51" i="2"/>
  <c r="L51" i="2"/>
  <c r="K51" i="2"/>
  <c r="Q50" i="2"/>
  <c r="P50" i="2"/>
  <c r="O50" i="2"/>
  <c r="F54" i="40" s="1"/>
  <c r="N50" i="2"/>
  <c r="M50" i="2"/>
  <c r="L50" i="2"/>
  <c r="K50" i="2"/>
  <c r="Q45" i="2"/>
  <c r="P45" i="2"/>
  <c r="O45" i="2"/>
  <c r="N45" i="2"/>
  <c r="M45" i="2"/>
  <c r="L45" i="2"/>
  <c r="K45" i="2"/>
  <c r="Q44" i="2"/>
  <c r="P44" i="2"/>
  <c r="O44" i="2"/>
  <c r="N44" i="2"/>
  <c r="M44" i="2"/>
  <c r="L44" i="2"/>
  <c r="K44" i="2"/>
  <c r="Q43" i="2"/>
  <c r="P43" i="2"/>
  <c r="O43" i="2"/>
  <c r="N43" i="2"/>
  <c r="M43" i="2"/>
  <c r="L43" i="2"/>
  <c r="K43" i="2"/>
  <c r="Q42" i="2"/>
  <c r="P42" i="2"/>
  <c r="O42" i="2"/>
  <c r="N42" i="2"/>
  <c r="M42" i="2"/>
  <c r="L42" i="2"/>
  <c r="K42" i="2"/>
  <c r="Q41" i="2"/>
  <c r="P41" i="2"/>
  <c r="E50" i="40" s="1"/>
  <c r="O41" i="2"/>
  <c r="F50" i="40" s="1"/>
  <c r="N41" i="2"/>
  <c r="G50" i="40" s="1"/>
  <c r="M41" i="2"/>
  <c r="H50" i="40" s="1"/>
  <c r="L41" i="2"/>
  <c r="I50" i="40" s="1"/>
  <c r="K41" i="2"/>
  <c r="J50" i="40" s="1"/>
  <c r="Q37" i="2"/>
  <c r="P37" i="2"/>
  <c r="O37" i="2"/>
  <c r="N37" i="2"/>
  <c r="M37" i="2"/>
  <c r="L37" i="2"/>
  <c r="K37" i="2"/>
  <c r="Q36" i="2"/>
  <c r="P36" i="2"/>
  <c r="O36" i="2"/>
  <c r="N36" i="2"/>
  <c r="M36" i="2"/>
  <c r="L36" i="2"/>
  <c r="K36" i="2"/>
  <c r="Q35" i="2"/>
  <c r="P35" i="2"/>
  <c r="O35" i="2"/>
  <c r="N35" i="2"/>
  <c r="M35" i="2"/>
  <c r="L35" i="2"/>
  <c r="K35" i="2"/>
  <c r="Q34" i="2"/>
  <c r="P34" i="2"/>
  <c r="O34" i="2"/>
  <c r="N34" i="2"/>
  <c r="G47" i="40" s="1"/>
  <c r="M34" i="2"/>
  <c r="L34" i="2"/>
  <c r="K34" i="2"/>
  <c r="Q33" i="2"/>
  <c r="P33" i="2"/>
  <c r="E45" i="40" s="1"/>
  <c r="O33" i="2"/>
  <c r="F45" i="40" s="1"/>
  <c r="N33" i="2"/>
  <c r="G45" i="40" s="1"/>
  <c r="M33" i="2"/>
  <c r="H45" i="40" s="1"/>
  <c r="L33" i="2"/>
  <c r="I45" i="40" s="1"/>
  <c r="K33" i="2"/>
  <c r="J45" i="40" s="1"/>
  <c r="Q32" i="2"/>
  <c r="P32" i="2"/>
  <c r="E46" i="40" s="1"/>
  <c r="O32" i="2"/>
  <c r="F46" i="40" s="1"/>
  <c r="N32" i="2"/>
  <c r="M32" i="2"/>
  <c r="L32" i="2"/>
  <c r="I46" i="40" s="1"/>
  <c r="K32" i="2"/>
  <c r="Q25" i="2"/>
  <c r="P25" i="2"/>
  <c r="O25" i="2"/>
  <c r="N25" i="2"/>
  <c r="M25" i="2"/>
  <c r="L25" i="2"/>
  <c r="K25" i="2"/>
  <c r="Q24" i="2"/>
  <c r="P24" i="2"/>
  <c r="O24" i="2"/>
  <c r="N24" i="2"/>
  <c r="M24" i="2"/>
  <c r="L24" i="2"/>
  <c r="K24" i="2"/>
  <c r="Q23" i="2"/>
  <c r="P23" i="2"/>
  <c r="O23" i="2"/>
  <c r="N23" i="2"/>
  <c r="M23" i="2"/>
  <c r="L23" i="2"/>
  <c r="K23" i="2"/>
  <c r="Q22" i="2"/>
  <c r="P22" i="2"/>
  <c r="O22" i="2"/>
  <c r="N22" i="2"/>
  <c r="M22" i="2"/>
  <c r="L22" i="2"/>
  <c r="K22" i="2"/>
  <c r="Q21" i="2"/>
  <c r="P21" i="2"/>
  <c r="E41" i="40" s="1"/>
  <c r="O21" i="2"/>
  <c r="F41" i="40" s="1"/>
  <c r="N21" i="2"/>
  <c r="G41" i="40" s="1"/>
  <c r="M21" i="2"/>
  <c r="H41" i="40" s="1"/>
  <c r="L21" i="2"/>
  <c r="I41" i="40" s="1"/>
  <c r="K21" i="2"/>
  <c r="J41" i="40" s="1"/>
  <c r="Q20" i="2"/>
  <c r="P20" i="2"/>
  <c r="O20" i="2"/>
  <c r="N20" i="2"/>
  <c r="M20" i="2"/>
  <c r="L20" i="2"/>
  <c r="K20" i="2"/>
  <c r="Q19" i="2"/>
  <c r="P19" i="2"/>
  <c r="O19" i="2"/>
  <c r="N19" i="2"/>
  <c r="M19" i="2"/>
  <c r="L19" i="2"/>
  <c r="K19" i="2"/>
  <c r="Q18" i="2"/>
  <c r="P18" i="2"/>
  <c r="O18" i="2"/>
  <c r="N18" i="2"/>
  <c r="M18" i="2"/>
  <c r="L18" i="2"/>
  <c r="Q13" i="2"/>
  <c r="P13" i="2"/>
  <c r="O13" i="2"/>
  <c r="N13" i="2"/>
  <c r="M13" i="2"/>
  <c r="L13" i="2"/>
  <c r="K13" i="2"/>
  <c r="Q12" i="2"/>
  <c r="P12" i="2"/>
  <c r="O12" i="2"/>
  <c r="N12" i="2"/>
  <c r="M12" i="2"/>
  <c r="L12" i="2"/>
  <c r="K12" i="2"/>
  <c r="Q11" i="2"/>
  <c r="P11" i="2"/>
  <c r="O11" i="2"/>
  <c r="N11" i="2"/>
  <c r="M11" i="2"/>
  <c r="L11" i="2"/>
  <c r="K11" i="2"/>
  <c r="Q10" i="2"/>
  <c r="P10" i="2"/>
  <c r="E37" i="40" s="1"/>
  <c r="O10" i="2"/>
  <c r="F37" i="40" s="1"/>
  <c r="N10" i="2"/>
  <c r="G37" i="40" s="1"/>
  <c r="M10" i="2"/>
  <c r="H37" i="40" s="1"/>
  <c r="L10" i="2"/>
  <c r="I37" i="40" s="1"/>
  <c r="K10" i="2"/>
  <c r="J37" i="40" s="1"/>
  <c r="Q9" i="2"/>
  <c r="P9" i="2"/>
  <c r="O9" i="2"/>
  <c r="N9" i="2"/>
  <c r="M9" i="2"/>
  <c r="L9" i="2"/>
  <c r="K9" i="2"/>
  <c r="Q8" i="2"/>
  <c r="P8" i="2"/>
  <c r="O8" i="2"/>
  <c r="N8" i="2"/>
  <c r="M8" i="2"/>
  <c r="H38" i="40" s="1"/>
  <c r="L8" i="2"/>
  <c r="K8" i="2"/>
  <c r="Q7" i="2"/>
  <c r="P7" i="2"/>
  <c r="E36" i="40" s="1"/>
  <c r="O7" i="2"/>
  <c r="F36" i="40" s="1"/>
  <c r="N7" i="2"/>
  <c r="G36" i="40" s="1"/>
  <c r="M7" i="2"/>
  <c r="H36" i="40" s="1"/>
  <c r="L7" i="2"/>
  <c r="I36" i="40" s="1"/>
  <c r="K7" i="2"/>
  <c r="J36" i="40" s="1"/>
  <c r="Q6" i="2"/>
  <c r="P6" i="2"/>
  <c r="E34" i="40" s="1"/>
  <c r="O6" i="2"/>
  <c r="F34" i="40" s="1"/>
  <c r="N6" i="2"/>
  <c r="G34" i="40" s="1"/>
  <c r="M6" i="2"/>
  <c r="H34" i="40" s="1"/>
  <c r="L6" i="2"/>
  <c r="I34" i="40" s="1"/>
  <c r="K6" i="2"/>
  <c r="I57" i="2"/>
  <c r="H57" i="2"/>
  <c r="G57" i="2"/>
  <c r="F57" i="2"/>
  <c r="E57" i="2"/>
  <c r="D57" i="2"/>
  <c r="C57" i="2"/>
  <c r="I46" i="2"/>
  <c r="H46" i="2"/>
  <c r="G46" i="2"/>
  <c r="F46" i="2"/>
  <c r="E46" i="2"/>
  <c r="D46" i="2"/>
  <c r="C46" i="2"/>
  <c r="I38" i="2"/>
  <c r="H38" i="2"/>
  <c r="G38" i="2"/>
  <c r="F38" i="2"/>
  <c r="E38" i="2"/>
  <c r="D38" i="2"/>
  <c r="C38" i="2"/>
  <c r="I26" i="2"/>
  <c r="H26" i="2"/>
  <c r="G26" i="2"/>
  <c r="F26" i="2"/>
  <c r="E26" i="2"/>
  <c r="D26" i="2"/>
  <c r="C26" i="2"/>
  <c r="I14" i="2"/>
  <c r="H14" i="2"/>
  <c r="G14" i="2"/>
  <c r="F14" i="2"/>
  <c r="E14" i="2"/>
  <c r="D14" i="2"/>
  <c r="C14" i="2"/>
  <c r="Q85" i="16"/>
  <c r="P85" i="16"/>
  <c r="E21" i="40" s="1"/>
  <c r="O85" i="16"/>
  <c r="F21" i="40" s="1"/>
  <c r="N85" i="16"/>
  <c r="G21" i="40" s="1"/>
  <c r="M85" i="16"/>
  <c r="H21" i="40" s="1"/>
  <c r="L85" i="16"/>
  <c r="I21" i="40" s="1"/>
  <c r="K85" i="16"/>
  <c r="J21" i="40" s="1"/>
  <c r="Q82" i="16"/>
  <c r="P82" i="16"/>
  <c r="E19" i="40" s="1"/>
  <c r="O82" i="16"/>
  <c r="F19" i="40" s="1"/>
  <c r="N82" i="16"/>
  <c r="G19" i="40" s="1"/>
  <c r="M82" i="16"/>
  <c r="H19" i="40" s="1"/>
  <c r="L82" i="16"/>
  <c r="I19" i="40" s="1"/>
  <c r="K82" i="16"/>
  <c r="J19" i="40" s="1"/>
  <c r="Q80" i="16"/>
  <c r="P80" i="16"/>
  <c r="E18" i="40" s="1"/>
  <c r="O80" i="16"/>
  <c r="F18" i="40" s="1"/>
  <c r="N80" i="16"/>
  <c r="G18" i="40" s="1"/>
  <c r="M80" i="16"/>
  <c r="H18" i="40" s="1"/>
  <c r="L80" i="16"/>
  <c r="I18" i="40" s="1"/>
  <c r="K80" i="16"/>
  <c r="J18" i="40" s="1"/>
  <c r="Q79" i="16"/>
  <c r="P79" i="16"/>
  <c r="O79" i="16"/>
  <c r="N79" i="16"/>
  <c r="M79" i="16"/>
  <c r="L79" i="16"/>
  <c r="K79" i="16"/>
  <c r="Q78" i="16"/>
  <c r="P78" i="16"/>
  <c r="O78" i="16"/>
  <c r="N78" i="16"/>
  <c r="M78" i="16"/>
  <c r="L78" i="16"/>
  <c r="K78" i="16"/>
  <c r="Q77" i="16"/>
  <c r="P77" i="16"/>
  <c r="O77" i="16"/>
  <c r="N77" i="16"/>
  <c r="M77" i="16"/>
  <c r="L77" i="16"/>
  <c r="Q76" i="16"/>
  <c r="P76" i="16"/>
  <c r="O76" i="16"/>
  <c r="N76" i="16"/>
  <c r="M76" i="16"/>
  <c r="L76" i="16"/>
  <c r="K76" i="16"/>
  <c r="Q75" i="16"/>
  <c r="P75" i="16"/>
  <c r="O75" i="16"/>
  <c r="N75" i="16"/>
  <c r="M75" i="16"/>
  <c r="L75" i="16"/>
  <c r="K75" i="16"/>
  <c r="Q74" i="16"/>
  <c r="P74" i="16"/>
  <c r="O74" i="16"/>
  <c r="N74" i="16"/>
  <c r="M74" i="16"/>
  <c r="L74" i="16"/>
  <c r="Q73" i="16"/>
  <c r="P73" i="16"/>
  <c r="O73" i="16"/>
  <c r="N73" i="16"/>
  <c r="M73" i="16"/>
  <c r="L73" i="16"/>
  <c r="K73" i="16"/>
  <c r="Q70" i="16"/>
  <c r="P70" i="16"/>
  <c r="O70" i="16"/>
  <c r="N70" i="16"/>
  <c r="M70" i="16"/>
  <c r="L70" i="16"/>
  <c r="K70" i="16"/>
  <c r="Q69" i="16"/>
  <c r="P69" i="16"/>
  <c r="O69" i="16"/>
  <c r="N69" i="16"/>
  <c r="M69" i="16"/>
  <c r="L69" i="16"/>
  <c r="K69" i="16"/>
  <c r="Q68" i="16"/>
  <c r="P68" i="16"/>
  <c r="O68" i="16"/>
  <c r="N68" i="16"/>
  <c r="M68" i="16"/>
  <c r="L68" i="16"/>
  <c r="K68" i="16"/>
  <c r="Q67" i="16"/>
  <c r="P67" i="16"/>
  <c r="O67" i="16"/>
  <c r="N67" i="16"/>
  <c r="M67" i="16"/>
  <c r="L67" i="16"/>
  <c r="K67" i="16"/>
  <c r="Q66" i="16"/>
  <c r="P66" i="16"/>
  <c r="O66" i="16"/>
  <c r="N66" i="16"/>
  <c r="M66" i="16"/>
  <c r="L66" i="16"/>
  <c r="K66" i="16"/>
  <c r="Q60" i="16"/>
  <c r="P60" i="16"/>
  <c r="O60" i="16"/>
  <c r="N60" i="16"/>
  <c r="M60" i="16"/>
  <c r="L60" i="16"/>
  <c r="K60" i="16"/>
  <c r="Q59" i="16"/>
  <c r="P59" i="16"/>
  <c r="O59" i="16"/>
  <c r="N59" i="16"/>
  <c r="M59" i="16"/>
  <c r="L59" i="16"/>
  <c r="K59" i="16"/>
  <c r="Q58" i="16"/>
  <c r="P58" i="16"/>
  <c r="O58" i="16"/>
  <c r="N58" i="16"/>
  <c r="M58" i="16"/>
  <c r="L58" i="16"/>
  <c r="K58" i="16"/>
  <c r="Q57" i="16"/>
  <c r="P57" i="16"/>
  <c r="O57" i="16"/>
  <c r="N57" i="16"/>
  <c r="M57" i="16"/>
  <c r="L57" i="16"/>
  <c r="K57" i="16"/>
  <c r="Q56" i="16"/>
  <c r="P56" i="16"/>
  <c r="O56" i="16"/>
  <c r="N56" i="16"/>
  <c r="M56" i="16"/>
  <c r="L56" i="16"/>
  <c r="K56" i="16"/>
  <c r="Q55" i="16"/>
  <c r="P55" i="16"/>
  <c r="O55" i="16"/>
  <c r="N55" i="16"/>
  <c r="M55" i="16"/>
  <c r="L55" i="16"/>
  <c r="K55" i="16"/>
  <c r="Q54" i="16"/>
  <c r="P54" i="16"/>
  <c r="O54" i="16"/>
  <c r="N54" i="16"/>
  <c r="M54" i="16"/>
  <c r="L54" i="16"/>
  <c r="K54" i="16"/>
  <c r="Q50" i="16"/>
  <c r="P50" i="16"/>
  <c r="O50" i="16"/>
  <c r="N50" i="16"/>
  <c r="M50" i="16"/>
  <c r="L50" i="16"/>
  <c r="K50" i="16"/>
  <c r="Q49" i="16"/>
  <c r="P49" i="16"/>
  <c r="O49" i="16"/>
  <c r="N49" i="16"/>
  <c r="M49" i="16"/>
  <c r="L49" i="16"/>
  <c r="K49" i="16"/>
  <c r="Q48" i="16"/>
  <c r="P48" i="16"/>
  <c r="O48" i="16"/>
  <c r="N48" i="16"/>
  <c r="M48" i="16"/>
  <c r="L48" i="16"/>
  <c r="K48" i="16"/>
  <c r="Q47" i="16"/>
  <c r="P47" i="16"/>
  <c r="O47" i="16"/>
  <c r="N47" i="16"/>
  <c r="M47" i="16"/>
  <c r="L47" i="16"/>
  <c r="K47" i="16"/>
  <c r="Q46" i="16"/>
  <c r="P46" i="16"/>
  <c r="O46" i="16"/>
  <c r="N46" i="16"/>
  <c r="M46" i="16"/>
  <c r="L46" i="16"/>
  <c r="K46" i="16"/>
  <c r="Q45" i="16"/>
  <c r="P45" i="16"/>
  <c r="O45" i="16"/>
  <c r="N45" i="16"/>
  <c r="M45" i="16"/>
  <c r="L45" i="16"/>
  <c r="Q44" i="16"/>
  <c r="P44" i="16"/>
  <c r="O44" i="16"/>
  <c r="N44" i="16"/>
  <c r="M44" i="16"/>
  <c r="L44" i="16"/>
  <c r="K44" i="16"/>
  <c r="Q41" i="16"/>
  <c r="P41" i="16"/>
  <c r="L54" i="29" s="1"/>
  <c r="O41" i="16"/>
  <c r="M54" i="29" s="1"/>
  <c r="N41" i="16"/>
  <c r="N54" i="29" s="1"/>
  <c r="M41" i="16"/>
  <c r="O54" i="29" s="1"/>
  <c r="L41" i="16"/>
  <c r="P54" i="29" s="1"/>
  <c r="K41" i="16"/>
  <c r="Q54" i="29" s="1"/>
  <c r="Q40" i="16"/>
  <c r="P40" i="16"/>
  <c r="L53" i="29" s="1"/>
  <c r="O40" i="16"/>
  <c r="M53" i="29" s="1"/>
  <c r="N40" i="16"/>
  <c r="N53" i="29" s="1"/>
  <c r="M40" i="16"/>
  <c r="O53" i="29" s="1"/>
  <c r="L40" i="16"/>
  <c r="P53" i="29" s="1"/>
  <c r="K40" i="16"/>
  <c r="Q53" i="29" s="1"/>
  <c r="Q39" i="16"/>
  <c r="P39" i="16"/>
  <c r="O39" i="16"/>
  <c r="N39" i="16"/>
  <c r="M39" i="16"/>
  <c r="L39" i="16"/>
  <c r="K39" i="16"/>
  <c r="Q38" i="16"/>
  <c r="P38" i="16"/>
  <c r="L51" i="29" s="1"/>
  <c r="O38" i="16"/>
  <c r="M51" i="29" s="1"/>
  <c r="N38" i="16"/>
  <c r="N51" i="29" s="1"/>
  <c r="M38" i="16"/>
  <c r="O51" i="29" s="1"/>
  <c r="L38" i="16"/>
  <c r="P51" i="29" s="1"/>
  <c r="K38" i="16"/>
  <c r="Q51" i="29" s="1"/>
  <c r="Q37" i="16"/>
  <c r="P37" i="16"/>
  <c r="L50" i="29" s="1"/>
  <c r="O37" i="16"/>
  <c r="M50" i="29" s="1"/>
  <c r="N37" i="16"/>
  <c r="N50" i="29" s="1"/>
  <c r="M37" i="16"/>
  <c r="O50" i="29" s="1"/>
  <c r="L37" i="16"/>
  <c r="P50" i="29" s="1"/>
  <c r="K37" i="16"/>
  <c r="Q50" i="29" s="1"/>
  <c r="Q36" i="16"/>
  <c r="P36" i="16"/>
  <c r="L49" i="29" s="1"/>
  <c r="O36" i="16"/>
  <c r="M49" i="29" s="1"/>
  <c r="N36" i="16"/>
  <c r="N49" i="29" s="1"/>
  <c r="M36" i="16"/>
  <c r="O49" i="29" s="1"/>
  <c r="L36" i="16"/>
  <c r="P49" i="29" s="1"/>
  <c r="K36" i="16"/>
  <c r="Q49" i="29" s="1"/>
  <c r="Q35" i="16"/>
  <c r="P35" i="16"/>
  <c r="L48" i="29" s="1"/>
  <c r="O35" i="16"/>
  <c r="M48" i="29" s="1"/>
  <c r="N35" i="16"/>
  <c r="N48" i="29" s="1"/>
  <c r="M35" i="16"/>
  <c r="O48" i="29" s="1"/>
  <c r="L35" i="16"/>
  <c r="P48" i="29" s="1"/>
  <c r="K35" i="16"/>
  <c r="Q48" i="29" s="1"/>
  <c r="K27" i="16"/>
  <c r="Q34" i="29" s="1"/>
  <c r="L27" i="16"/>
  <c r="P34" i="29" s="1"/>
  <c r="M27" i="16"/>
  <c r="O34" i="29" s="1"/>
  <c r="N27" i="16"/>
  <c r="N34" i="29" s="1"/>
  <c r="O27" i="16"/>
  <c r="M34" i="29" s="1"/>
  <c r="P27" i="16"/>
  <c r="L34" i="29" s="1"/>
  <c r="Q27" i="16"/>
  <c r="K28" i="16"/>
  <c r="Q35" i="29" s="1"/>
  <c r="L28" i="16"/>
  <c r="P35" i="29" s="1"/>
  <c r="M28" i="16"/>
  <c r="O35" i="29" s="1"/>
  <c r="N28" i="16"/>
  <c r="N35" i="29" s="1"/>
  <c r="O28" i="16"/>
  <c r="M35" i="29" s="1"/>
  <c r="P28" i="16"/>
  <c r="L35" i="29" s="1"/>
  <c r="Q28" i="16"/>
  <c r="K29" i="16"/>
  <c r="Q36" i="29" s="1"/>
  <c r="L29" i="16"/>
  <c r="P36" i="29" s="1"/>
  <c r="M29" i="16"/>
  <c r="O36" i="29" s="1"/>
  <c r="N29" i="16"/>
  <c r="N36" i="29" s="1"/>
  <c r="O29" i="16"/>
  <c r="M36" i="29" s="1"/>
  <c r="P29" i="16"/>
  <c r="L36" i="29" s="1"/>
  <c r="Q29" i="16"/>
  <c r="K30" i="16"/>
  <c r="L30" i="16"/>
  <c r="M30" i="16"/>
  <c r="N30" i="16"/>
  <c r="O30" i="16"/>
  <c r="P30" i="16"/>
  <c r="Q30" i="16"/>
  <c r="K31" i="16"/>
  <c r="Q38" i="29" s="1"/>
  <c r="L31" i="16"/>
  <c r="P38" i="29" s="1"/>
  <c r="M31" i="16"/>
  <c r="O38" i="29" s="1"/>
  <c r="N31" i="16"/>
  <c r="N38" i="29" s="1"/>
  <c r="O31" i="16"/>
  <c r="M38" i="29" s="1"/>
  <c r="P31" i="16"/>
  <c r="L38" i="29" s="1"/>
  <c r="Q31" i="16"/>
  <c r="K32" i="16"/>
  <c r="Q39" i="29" s="1"/>
  <c r="L32" i="16"/>
  <c r="P39" i="29" s="1"/>
  <c r="M32" i="16"/>
  <c r="O39" i="29" s="1"/>
  <c r="N32" i="16"/>
  <c r="N39" i="29" s="1"/>
  <c r="O32" i="16"/>
  <c r="M39" i="29" s="1"/>
  <c r="P32" i="16"/>
  <c r="L39" i="29" s="1"/>
  <c r="Q32" i="16"/>
  <c r="L26" i="16"/>
  <c r="P33" i="29" s="1"/>
  <c r="M26" i="16"/>
  <c r="O33" i="29" s="1"/>
  <c r="N26" i="16"/>
  <c r="N33" i="29" s="1"/>
  <c r="O26" i="16"/>
  <c r="M33" i="29" s="1"/>
  <c r="P26" i="16"/>
  <c r="L33" i="29" s="1"/>
  <c r="Q26" i="16"/>
  <c r="K26" i="16"/>
  <c r="Q33" i="29" s="1"/>
  <c r="K14" i="16"/>
  <c r="L14" i="16"/>
  <c r="M14" i="16"/>
  <c r="N14" i="16"/>
  <c r="O14" i="16"/>
  <c r="P14" i="16"/>
  <c r="Q14" i="16"/>
  <c r="K15" i="16"/>
  <c r="Q18" i="29" s="1"/>
  <c r="L15" i="16"/>
  <c r="P18" i="29" s="1"/>
  <c r="M15" i="16"/>
  <c r="O18" i="29" s="1"/>
  <c r="N15" i="16"/>
  <c r="N18" i="29" s="1"/>
  <c r="O15" i="16"/>
  <c r="M18" i="29" s="1"/>
  <c r="P15" i="16"/>
  <c r="L18" i="29" s="1"/>
  <c r="Q15" i="16"/>
  <c r="K16" i="16"/>
  <c r="Q19" i="29" s="1"/>
  <c r="L16" i="16"/>
  <c r="P19" i="29" s="1"/>
  <c r="M16" i="16"/>
  <c r="O19" i="29" s="1"/>
  <c r="N16" i="16"/>
  <c r="N19" i="29" s="1"/>
  <c r="O16" i="16"/>
  <c r="M19" i="29" s="1"/>
  <c r="P16" i="16"/>
  <c r="L19" i="29" s="1"/>
  <c r="Q16" i="16"/>
  <c r="K17" i="16"/>
  <c r="Q21" i="29" s="1"/>
  <c r="L17" i="16"/>
  <c r="P21" i="29" s="1"/>
  <c r="M17" i="16"/>
  <c r="O21" i="29" s="1"/>
  <c r="N17" i="16"/>
  <c r="N21" i="29" s="1"/>
  <c r="O17" i="16"/>
  <c r="M21" i="29" s="1"/>
  <c r="P17" i="16"/>
  <c r="L21" i="29" s="1"/>
  <c r="Q17" i="16"/>
  <c r="K18" i="16"/>
  <c r="L18" i="16"/>
  <c r="M18" i="16"/>
  <c r="N18" i="16"/>
  <c r="O18" i="16"/>
  <c r="P18" i="16"/>
  <c r="Q18" i="16"/>
  <c r="K19" i="16"/>
  <c r="Q23" i="29" s="1"/>
  <c r="L19" i="16"/>
  <c r="P23" i="29" s="1"/>
  <c r="M19" i="16"/>
  <c r="O23" i="29" s="1"/>
  <c r="N19" i="16"/>
  <c r="N23" i="29" s="1"/>
  <c r="O19" i="16"/>
  <c r="M23" i="29" s="1"/>
  <c r="P19" i="16"/>
  <c r="L23" i="29" s="1"/>
  <c r="Q19" i="16"/>
  <c r="K20" i="16"/>
  <c r="Q24" i="29" s="1"/>
  <c r="L20" i="16"/>
  <c r="P24" i="29" s="1"/>
  <c r="M20" i="16"/>
  <c r="O24" i="29" s="1"/>
  <c r="N20" i="16"/>
  <c r="N24" i="29" s="1"/>
  <c r="O20" i="16"/>
  <c r="M24" i="29" s="1"/>
  <c r="P20" i="16"/>
  <c r="L24" i="29" s="1"/>
  <c r="Q20" i="16"/>
  <c r="K21" i="16"/>
  <c r="L21" i="16"/>
  <c r="M21" i="16"/>
  <c r="N21" i="16"/>
  <c r="O21" i="16"/>
  <c r="P21" i="16"/>
  <c r="Q21" i="16"/>
  <c r="K7" i="16"/>
  <c r="Q5" i="29" s="1"/>
  <c r="L7" i="16"/>
  <c r="P5" i="29" s="1"/>
  <c r="M7" i="16"/>
  <c r="O5" i="29" s="1"/>
  <c r="N7" i="16"/>
  <c r="N5" i="29" s="1"/>
  <c r="O7" i="16"/>
  <c r="M5" i="29" s="1"/>
  <c r="P7" i="16"/>
  <c r="L5" i="29" s="1"/>
  <c r="Q7" i="16"/>
  <c r="K8" i="16"/>
  <c r="Q6" i="29" s="1"/>
  <c r="L8" i="16"/>
  <c r="P6" i="29" s="1"/>
  <c r="M8" i="16"/>
  <c r="O6" i="29" s="1"/>
  <c r="N8" i="16"/>
  <c r="N6" i="29" s="1"/>
  <c r="O8" i="16"/>
  <c r="M6" i="29" s="1"/>
  <c r="P8" i="16"/>
  <c r="L6" i="29" s="1"/>
  <c r="Q8" i="16"/>
  <c r="K9" i="16"/>
  <c r="Q7" i="29" s="1"/>
  <c r="L9" i="16"/>
  <c r="P7" i="29" s="1"/>
  <c r="M9" i="16"/>
  <c r="O7" i="29" s="1"/>
  <c r="N9" i="16"/>
  <c r="N7" i="29" s="1"/>
  <c r="O9" i="16"/>
  <c r="M7" i="29" s="1"/>
  <c r="P9" i="16"/>
  <c r="L7" i="29" s="1"/>
  <c r="Q9" i="16"/>
  <c r="K10" i="16"/>
  <c r="Q9" i="29" s="1"/>
  <c r="L10" i="16"/>
  <c r="P9" i="29" s="1"/>
  <c r="M10" i="16"/>
  <c r="O9" i="29" s="1"/>
  <c r="N10" i="16"/>
  <c r="N9" i="29" s="1"/>
  <c r="O10" i="16"/>
  <c r="M9" i="29" s="1"/>
  <c r="P10" i="16"/>
  <c r="L9" i="29" s="1"/>
  <c r="Q10" i="16"/>
  <c r="L6" i="16"/>
  <c r="P4" i="29" s="1"/>
  <c r="M6" i="16"/>
  <c r="O4" i="29" s="1"/>
  <c r="N6" i="16"/>
  <c r="N4" i="29" s="1"/>
  <c r="O6" i="16"/>
  <c r="M4" i="29" s="1"/>
  <c r="P6" i="16"/>
  <c r="L4" i="29" s="1"/>
  <c r="Q6" i="16"/>
  <c r="K6" i="16"/>
  <c r="I81" i="16"/>
  <c r="H81" i="16"/>
  <c r="G81" i="16"/>
  <c r="F81" i="16"/>
  <c r="E81" i="16"/>
  <c r="D81" i="16"/>
  <c r="C77" i="16"/>
  <c r="K77" i="16" s="1"/>
  <c r="C74" i="16"/>
  <c r="I71" i="16"/>
  <c r="H71" i="16"/>
  <c r="G71" i="16"/>
  <c r="F71" i="16"/>
  <c r="E71" i="16"/>
  <c r="D71" i="16"/>
  <c r="C71" i="16"/>
  <c r="I61" i="16"/>
  <c r="H61" i="16"/>
  <c r="G61" i="16"/>
  <c r="F61" i="16"/>
  <c r="E61" i="16"/>
  <c r="D61" i="16"/>
  <c r="C61" i="16"/>
  <c r="I52" i="16"/>
  <c r="H52" i="16"/>
  <c r="G52" i="16"/>
  <c r="F52" i="16"/>
  <c r="E52" i="16"/>
  <c r="D52" i="16"/>
  <c r="C45" i="16"/>
  <c r="C52" i="16" s="1"/>
  <c r="I42" i="16"/>
  <c r="H42" i="16"/>
  <c r="G42" i="16"/>
  <c r="F42" i="16"/>
  <c r="E42" i="16"/>
  <c r="D42" i="16"/>
  <c r="C42" i="16"/>
  <c r="I33" i="16"/>
  <c r="H33" i="16"/>
  <c r="G33" i="16"/>
  <c r="F33" i="16"/>
  <c r="E33" i="16"/>
  <c r="D33" i="16"/>
  <c r="C33" i="16"/>
  <c r="I22" i="16"/>
  <c r="H22" i="16"/>
  <c r="G22" i="16"/>
  <c r="F22" i="16"/>
  <c r="E22" i="16"/>
  <c r="D22" i="16"/>
  <c r="C22" i="16"/>
  <c r="I11" i="16"/>
  <c r="H11" i="16"/>
  <c r="G11" i="16"/>
  <c r="F11" i="16"/>
  <c r="E11" i="16"/>
  <c r="D11" i="16"/>
  <c r="C11" i="16"/>
  <c r="J47" i="40" l="1"/>
  <c r="F55" i="40"/>
  <c r="F53" i="40" s="1"/>
  <c r="F98" i="40" s="1"/>
  <c r="I38" i="40"/>
  <c r="I33" i="40" s="1"/>
  <c r="H28" i="32"/>
  <c r="H29" i="32" s="1"/>
  <c r="H46" i="32" s="1"/>
  <c r="J54" i="40"/>
  <c r="G55" i="40"/>
  <c r="G28" i="32"/>
  <c r="I54" i="40"/>
  <c r="J38" i="40"/>
  <c r="I47" i="40"/>
  <c r="I44" i="40" s="1"/>
  <c r="H54" i="40"/>
  <c r="E55" i="40"/>
  <c r="H27" i="32"/>
  <c r="J46" i="40"/>
  <c r="J44" i="40" s="1"/>
  <c r="H47" i="40"/>
  <c r="G54" i="40"/>
  <c r="D30" i="20"/>
  <c r="L41" i="37"/>
  <c r="J34" i="40"/>
  <c r="G38" i="40"/>
  <c r="G33" i="40" s="1"/>
  <c r="F27" i="32"/>
  <c r="H46" i="40"/>
  <c r="F47" i="40"/>
  <c r="K77" i="40"/>
  <c r="K81" i="40" s="1"/>
  <c r="E54" i="40"/>
  <c r="J55" i="40"/>
  <c r="H33" i="40"/>
  <c r="F38" i="40"/>
  <c r="F33" i="40" s="1"/>
  <c r="E27" i="32"/>
  <c r="G46" i="40"/>
  <c r="G44" i="40" s="1"/>
  <c r="F44" i="40"/>
  <c r="E47" i="40"/>
  <c r="E44" i="40" s="1"/>
  <c r="I55" i="40"/>
  <c r="E38" i="40"/>
  <c r="E33" i="40" s="1"/>
  <c r="H55" i="40"/>
  <c r="Q4" i="29"/>
  <c r="M25" i="25"/>
  <c r="L81" i="16"/>
  <c r="E28" i="32"/>
  <c r="G27" i="32"/>
  <c r="F28" i="32"/>
  <c r="F29" i="32" s="1"/>
  <c r="F46" i="32" s="1"/>
  <c r="D28" i="32"/>
  <c r="C28" i="32"/>
  <c r="D27" i="32"/>
  <c r="C27" i="32"/>
  <c r="D47" i="2"/>
  <c r="D58" i="2" s="1"/>
  <c r="K13" i="19"/>
  <c r="E93" i="17"/>
  <c r="G13" i="19"/>
  <c r="I93" i="17"/>
  <c r="J15" i="19"/>
  <c r="F94" i="17"/>
  <c r="I27" i="2"/>
  <c r="C47" i="2"/>
  <c r="C58" i="2" s="1"/>
  <c r="G47" i="2"/>
  <c r="G58" i="2" s="1"/>
  <c r="J13" i="19"/>
  <c r="F93" i="17"/>
  <c r="M15" i="19"/>
  <c r="C94" i="17"/>
  <c r="I15" i="19"/>
  <c r="G94" i="17"/>
  <c r="M13" i="19"/>
  <c r="C93" i="17"/>
  <c r="I13" i="19"/>
  <c r="G93" i="17"/>
  <c r="L15" i="19"/>
  <c r="D94" i="17"/>
  <c r="H15" i="19"/>
  <c r="H94" i="17"/>
  <c r="G27" i="2"/>
  <c r="I47" i="2"/>
  <c r="I58" i="2" s="1"/>
  <c r="L13" i="19"/>
  <c r="D93" i="17"/>
  <c r="H13" i="19"/>
  <c r="H93" i="17"/>
  <c r="K15" i="19"/>
  <c r="E94" i="17"/>
  <c r="G15" i="19"/>
  <c r="I94" i="17"/>
  <c r="L62" i="29"/>
  <c r="C23" i="16"/>
  <c r="C62" i="16" s="1"/>
  <c r="K45" i="16"/>
  <c r="F23" i="16"/>
  <c r="F62" i="16" s="1"/>
  <c r="H27" i="2"/>
  <c r="F47" i="2"/>
  <c r="F58" i="2" s="1"/>
  <c r="D23" i="16"/>
  <c r="D62" i="16" s="1"/>
  <c r="G23" i="16"/>
  <c r="G62" i="16" s="1"/>
  <c r="L17" i="29"/>
  <c r="T17" i="29" s="1"/>
  <c r="M17" i="29"/>
  <c r="H47" i="2"/>
  <c r="H58" i="2" s="1"/>
  <c r="N17" i="29"/>
  <c r="C27" i="2"/>
  <c r="C81" i="16"/>
  <c r="O17" i="29"/>
  <c r="D27" i="2"/>
  <c r="P17" i="29"/>
  <c r="K74" i="16"/>
  <c r="E27" i="2"/>
  <c r="Q17" i="29"/>
  <c r="F27" i="2"/>
  <c r="E47" i="2"/>
  <c r="E58" i="2" s="1"/>
  <c r="E23" i="16"/>
  <c r="E62" i="16" s="1"/>
  <c r="E63" i="16" s="1"/>
  <c r="I23" i="16"/>
  <c r="I62" i="16" s="1"/>
  <c r="I83" i="16" s="1"/>
  <c r="I86" i="16" s="1"/>
  <c r="H23" i="16"/>
  <c r="H62" i="16" s="1"/>
  <c r="H83" i="16" s="1"/>
  <c r="M30" i="25"/>
  <c r="L30" i="25"/>
  <c r="K30" i="25"/>
  <c r="J30" i="25"/>
  <c r="I30" i="25"/>
  <c r="H30" i="25"/>
  <c r="G30" i="25"/>
  <c r="K26" i="25"/>
  <c r="L26" i="25"/>
  <c r="M26" i="25"/>
  <c r="K27" i="25"/>
  <c r="L27" i="25"/>
  <c r="M27" i="25"/>
  <c r="K28" i="25"/>
  <c r="L28" i="25"/>
  <c r="M28" i="25"/>
  <c r="L25" i="25"/>
  <c r="K25" i="25"/>
  <c r="J26" i="25"/>
  <c r="J27" i="25"/>
  <c r="J28" i="25"/>
  <c r="J25" i="25"/>
  <c r="I26" i="25"/>
  <c r="I27" i="25"/>
  <c r="I28" i="25"/>
  <c r="I25" i="25"/>
  <c r="H26" i="25"/>
  <c r="H27" i="25"/>
  <c r="H28" i="25"/>
  <c r="H25" i="25"/>
  <c r="G26" i="25"/>
  <c r="G27" i="25"/>
  <c r="G28" i="25"/>
  <c r="G25" i="25"/>
  <c r="H11" i="32" l="1"/>
  <c r="E29" i="32"/>
  <c r="E46" i="32" s="1"/>
  <c r="G11" i="32"/>
  <c r="H44" i="40"/>
  <c r="H89" i="40" s="1"/>
  <c r="G53" i="40"/>
  <c r="G98" i="40" s="1"/>
  <c r="E53" i="40"/>
  <c r="J33" i="40"/>
  <c r="J90" i="40" s="1"/>
  <c r="G29" i="32"/>
  <c r="G46" i="32" s="1"/>
  <c r="F90" i="40"/>
  <c r="F89" i="40"/>
  <c r="E89" i="40"/>
  <c r="E90" i="40"/>
  <c r="I89" i="40"/>
  <c r="I90" i="40"/>
  <c r="E11" i="32"/>
  <c r="J53" i="40"/>
  <c r="G89" i="40"/>
  <c r="G90" i="40"/>
  <c r="H90" i="40"/>
  <c r="I53" i="40"/>
  <c r="F11" i="32"/>
  <c r="E98" i="40"/>
  <c r="H53" i="40"/>
  <c r="C11" i="32"/>
  <c r="C29" i="32"/>
  <c r="C46" i="32" s="1"/>
  <c r="D11" i="32"/>
  <c r="D29" i="32"/>
  <c r="D46" i="32" s="1"/>
  <c r="H86" i="16"/>
  <c r="F83" i="16"/>
  <c r="F63" i="16"/>
  <c r="D63" i="16"/>
  <c r="D83" i="16"/>
  <c r="G83" i="16"/>
  <c r="G63" i="16"/>
  <c r="I63" i="16"/>
  <c r="E83" i="16"/>
  <c r="H63" i="16"/>
  <c r="C63" i="16"/>
  <c r="C83" i="16"/>
  <c r="D20" i="12"/>
  <c r="J89" i="40" l="1"/>
  <c r="H98" i="40"/>
  <c r="I98" i="40"/>
  <c r="J98" i="40"/>
  <c r="D86" i="16"/>
  <c r="F86" i="16"/>
  <c r="E86" i="16"/>
  <c r="C86" i="16"/>
  <c r="G86" i="16"/>
  <c r="D370" i="31"/>
  <c r="D369" i="31"/>
  <c r="D368" i="31"/>
  <c r="D367" i="31"/>
  <c r="D366" i="31"/>
  <c r="D365" i="31"/>
  <c r="D364" i="31"/>
  <c r="D363" i="31"/>
  <c r="D362" i="31"/>
  <c r="D361" i="31"/>
  <c r="D360" i="31"/>
  <c r="D359" i="31"/>
  <c r="D358" i="31"/>
  <c r="D357" i="31"/>
  <c r="D356" i="31"/>
  <c r="D355" i="31"/>
  <c r="D354" i="31"/>
  <c r="D353" i="31"/>
  <c r="D352" i="31"/>
  <c r="D351" i="31"/>
  <c r="D350" i="31"/>
  <c r="D349" i="31"/>
  <c r="D348" i="31"/>
  <c r="D347" i="31"/>
  <c r="D346" i="31"/>
  <c r="D345" i="31"/>
  <c r="D344" i="31"/>
  <c r="D343" i="31"/>
  <c r="D342" i="31"/>
  <c r="D341" i="31"/>
  <c r="D340" i="31"/>
  <c r="D339" i="31"/>
  <c r="D338" i="31"/>
  <c r="D337" i="31"/>
  <c r="D336" i="31"/>
  <c r="D335" i="31"/>
  <c r="D334" i="31"/>
  <c r="D333" i="31"/>
  <c r="D332" i="31"/>
  <c r="D331" i="31"/>
  <c r="D330" i="31"/>
  <c r="D329" i="31"/>
  <c r="D328" i="31"/>
  <c r="D327" i="31"/>
  <c r="D326" i="31"/>
  <c r="D325" i="31"/>
  <c r="D324" i="31"/>
  <c r="D323" i="31"/>
  <c r="D322" i="31"/>
  <c r="D321" i="31"/>
  <c r="D320" i="31"/>
  <c r="D319" i="31"/>
  <c r="D318" i="31"/>
  <c r="D317" i="31"/>
  <c r="D316" i="31"/>
  <c r="D315" i="31"/>
  <c r="D314" i="31"/>
  <c r="D313" i="31"/>
  <c r="D312" i="31"/>
  <c r="D311" i="31"/>
  <c r="D310" i="31"/>
  <c r="D309" i="31"/>
  <c r="D308" i="31"/>
  <c r="D307" i="31"/>
  <c r="D306" i="31"/>
  <c r="D305" i="31"/>
  <c r="D304" i="31"/>
  <c r="D303" i="31"/>
  <c r="D302" i="31"/>
  <c r="D301" i="31"/>
  <c r="D300" i="31"/>
  <c r="D299" i="31"/>
  <c r="D298" i="31"/>
  <c r="D297" i="31"/>
  <c r="D296" i="31"/>
  <c r="D295" i="31"/>
  <c r="D294" i="31"/>
  <c r="D293" i="31"/>
  <c r="D292" i="31"/>
  <c r="D291" i="31"/>
  <c r="D290" i="31"/>
  <c r="D289" i="31"/>
  <c r="D288" i="31"/>
  <c r="D287" i="31"/>
  <c r="D286" i="31"/>
  <c r="D285" i="31"/>
  <c r="D284" i="31"/>
  <c r="D283" i="31"/>
  <c r="D282" i="31"/>
  <c r="D281" i="31"/>
  <c r="D280" i="31"/>
  <c r="D279" i="31"/>
  <c r="D278" i="31"/>
  <c r="D277" i="31"/>
  <c r="D276" i="31"/>
  <c r="D275" i="31"/>
  <c r="D274" i="31"/>
  <c r="D273" i="31"/>
  <c r="D272" i="31"/>
  <c r="D271" i="31"/>
  <c r="D270" i="31"/>
  <c r="D269" i="31"/>
  <c r="D268" i="31"/>
  <c r="D267" i="31"/>
  <c r="D266" i="31"/>
  <c r="D265" i="31"/>
  <c r="D264" i="31"/>
  <c r="D263" i="31"/>
  <c r="D262" i="31"/>
  <c r="D261" i="31"/>
  <c r="D260" i="31"/>
  <c r="D259" i="31"/>
  <c r="D258" i="31"/>
  <c r="D257" i="31"/>
  <c r="D256" i="31"/>
  <c r="D255" i="31"/>
  <c r="D254" i="31"/>
  <c r="D253" i="31"/>
  <c r="D252" i="31"/>
  <c r="D251" i="31"/>
  <c r="D250" i="31"/>
  <c r="D249" i="31"/>
  <c r="D248" i="31"/>
  <c r="D247" i="31"/>
  <c r="D246" i="31"/>
  <c r="D245" i="31"/>
  <c r="D244" i="31"/>
  <c r="D243" i="31"/>
  <c r="D242" i="31"/>
  <c r="D241" i="31"/>
  <c r="D240" i="31"/>
  <c r="D239" i="31"/>
  <c r="D238" i="31"/>
  <c r="D237" i="31"/>
  <c r="D236" i="31"/>
  <c r="D235" i="31"/>
  <c r="D234" i="31"/>
  <c r="D233" i="31"/>
  <c r="D232" i="31"/>
  <c r="D231" i="31"/>
  <c r="D230" i="31"/>
  <c r="D229" i="31"/>
  <c r="D228" i="31"/>
  <c r="D227" i="31"/>
  <c r="D226" i="31"/>
  <c r="D225" i="31"/>
  <c r="D224" i="31"/>
  <c r="D223" i="31"/>
  <c r="D222" i="31"/>
  <c r="D221" i="31"/>
  <c r="D220" i="31"/>
  <c r="D219" i="31"/>
  <c r="D218" i="31"/>
  <c r="D217" i="31"/>
  <c r="D216" i="31"/>
  <c r="D215" i="31"/>
  <c r="D214" i="31"/>
  <c r="D213" i="31"/>
  <c r="D212" i="31"/>
  <c r="D211" i="31"/>
  <c r="D210" i="31"/>
  <c r="D209" i="31"/>
  <c r="D208" i="31"/>
  <c r="D207" i="31"/>
  <c r="D206" i="31"/>
  <c r="D205" i="31"/>
  <c r="D204" i="31"/>
  <c r="D203" i="31"/>
  <c r="D202" i="31"/>
  <c r="D201" i="31"/>
  <c r="D200" i="31"/>
  <c r="D199" i="31"/>
  <c r="D198" i="31"/>
  <c r="D197" i="31"/>
  <c r="D196" i="31"/>
  <c r="D195" i="31"/>
  <c r="D194" i="31"/>
  <c r="D193" i="31"/>
  <c r="D192" i="31"/>
  <c r="D191" i="31"/>
  <c r="D190" i="31"/>
  <c r="D189" i="31"/>
  <c r="D188" i="31"/>
  <c r="D187" i="31"/>
  <c r="D186" i="31"/>
  <c r="D185" i="31"/>
  <c r="D184" i="31"/>
  <c r="D183" i="31"/>
  <c r="D182" i="31"/>
  <c r="D181" i="31"/>
  <c r="D180" i="31"/>
  <c r="D179" i="31"/>
  <c r="D178" i="31"/>
  <c r="D177" i="31"/>
  <c r="D176" i="31"/>
  <c r="D175" i="31"/>
  <c r="D174" i="31"/>
  <c r="D173" i="31"/>
  <c r="D172" i="31"/>
  <c r="D171" i="31"/>
  <c r="D170" i="31"/>
  <c r="D169" i="31"/>
  <c r="D168" i="31"/>
  <c r="D167" i="31"/>
  <c r="D166" i="31"/>
  <c r="D165" i="31"/>
  <c r="D164" i="31"/>
  <c r="D163" i="31"/>
  <c r="D162" i="31"/>
  <c r="D161" i="31"/>
  <c r="D160" i="31"/>
  <c r="D159" i="31"/>
  <c r="D158" i="31"/>
  <c r="D157" i="31"/>
  <c r="D156" i="31"/>
  <c r="D155" i="31"/>
  <c r="D154" i="31"/>
  <c r="D153" i="31"/>
  <c r="D152" i="31"/>
  <c r="D151" i="31"/>
  <c r="D150" i="31"/>
  <c r="D149" i="31"/>
  <c r="D148" i="31"/>
  <c r="D147" i="31"/>
  <c r="D146" i="31"/>
  <c r="D145" i="31"/>
  <c r="D144" i="31"/>
  <c r="D143" i="31"/>
  <c r="D142" i="31"/>
  <c r="D141" i="31"/>
  <c r="D140" i="31"/>
  <c r="D139" i="31"/>
  <c r="D138" i="31"/>
  <c r="D137" i="31"/>
  <c r="D136" i="31"/>
  <c r="D135" i="31"/>
  <c r="D134" i="31"/>
  <c r="D133" i="31"/>
  <c r="D132" i="31"/>
  <c r="D131" i="31"/>
  <c r="D130" i="31"/>
  <c r="D129" i="31"/>
  <c r="D128" i="31"/>
  <c r="D127" i="31"/>
  <c r="D126" i="31"/>
  <c r="D125" i="31"/>
  <c r="D124" i="31"/>
  <c r="D123" i="31"/>
  <c r="D122" i="31"/>
  <c r="D121" i="31"/>
  <c r="D120" i="31"/>
  <c r="D119" i="31"/>
  <c r="D118" i="31"/>
  <c r="D117" i="31"/>
  <c r="D116" i="31"/>
  <c r="D115" i="31"/>
  <c r="D114" i="31"/>
  <c r="D113" i="31"/>
  <c r="D112" i="31"/>
  <c r="D111" i="31"/>
  <c r="D110" i="31"/>
  <c r="D109" i="31"/>
  <c r="D108" i="31"/>
  <c r="D107" i="31"/>
  <c r="D106" i="31"/>
  <c r="D105" i="31"/>
  <c r="D104" i="31"/>
  <c r="D103" i="31"/>
  <c r="D102" i="31"/>
  <c r="D101" i="31"/>
  <c r="D100" i="31"/>
  <c r="D99" i="31"/>
  <c r="D98" i="31"/>
  <c r="D97" i="31"/>
  <c r="D96" i="31"/>
  <c r="D95" i="31"/>
  <c r="D94" i="31"/>
  <c r="D93" i="31"/>
  <c r="D92" i="31"/>
  <c r="D91" i="31"/>
  <c r="D90" i="31"/>
  <c r="D89" i="31"/>
  <c r="D88" i="31"/>
  <c r="D87" i="31"/>
  <c r="D86" i="31"/>
  <c r="D85" i="31"/>
  <c r="D84" i="31"/>
  <c r="D83" i="31"/>
  <c r="D82" i="31"/>
  <c r="D81" i="31"/>
  <c r="D80" i="31"/>
  <c r="D79" i="31"/>
  <c r="D78" i="31"/>
  <c r="D77" i="31"/>
  <c r="D76" i="31"/>
  <c r="D75" i="31"/>
  <c r="D74" i="31"/>
  <c r="D73" i="31"/>
  <c r="D72" i="31"/>
  <c r="D71" i="31"/>
  <c r="D70" i="31"/>
  <c r="D69" i="31"/>
  <c r="D68" i="31"/>
  <c r="D67" i="31"/>
  <c r="D66" i="31"/>
  <c r="D65" i="31"/>
  <c r="D64" i="31"/>
  <c r="D63" i="31"/>
  <c r="D62" i="31"/>
  <c r="D61" i="31"/>
  <c r="D60" i="31"/>
  <c r="D59" i="31"/>
  <c r="D58" i="31"/>
  <c r="D57" i="31"/>
  <c r="D56" i="31"/>
  <c r="D55" i="31"/>
  <c r="D54" i="31"/>
  <c r="D53" i="31"/>
  <c r="D52" i="31"/>
  <c r="D51" i="31"/>
  <c r="D50" i="31"/>
  <c r="D49" i="31"/>
  <c r="D48" i="31"/>
  <c r="D47" i="31"/>
  <c r="D46" i="31"/>
  <c r="D45" i="31"/>
  <c r="D44" i="31"/>
  <c r="D43" i="31"/>
  <c r="D42" i="31"/>
  <c r="I41" i="31"/>
  <c r="D41" i="31"/>
  <c r="I40" i="31"/>
  <c r="D40" i="31"/>
  <c r="I39" i="31"/>
  <c r="D39" i="31"/>
  <c r="I38" i="31"/>
  <c r="D38" i="31"/>
  <c r="I37" i="31"/>
  <c r="D37" i="31"/>
  <c r="I36" i="31"/>
  <c r="D36" i="31"/>
  <c r="I35" i="31"/>
  <c r="D35" i="31"/>
  <c r="I34" i="31"/>
  <c r="D34" i="31"/>
  <c r="I33" i="31"/>
  <c r="D33" i="31"/>
  <c r="I32" i="31"/>
  <c r="D32" i="31"/>
  <c r="I31" i="31"/>
  <c r="D31" i="31"/>
  <c r="I30" i="31"/>
  <c r="D30" i="31"/>
  <c r="I29" i="31"/>
  <c r="D29" i="31"/>
  <c r="I28" i="31"/>
  <c r="D28" i="31"/>
  <c r="I27" i="31"/>
  <c r="D27" i="31"/>
  <c r="I26" i="31"/>
  <c r="D26" i="31"/>
  <c r="I25" i="31"/>
  <c r="D25" i="31"/>
  <c r="I24" i="31"/>
  <c r="D24" i="31"/>
  <c r="I23" i="31"/>
  <c r="D23" i="31"/>
  <c r="I22" i="31"/>
  <c r="D22" i="31"/>
  <c r="I21" i="31"/>
  <c r="D21" i="31"/>
  <c r="I20" i="31"/>
  <c r="D20" i="31"/>
  <c r="I19" i="31"/>
  <c r="D19" i="31"/>
  <c r="I18" i="31"/>
  <c r="D18" i="31"/>
  <c r="I17" i="31"/>
  <c r="D17" i="31"/>
  <c r="I16" i="31"/>
  <c r="D16" i="31"/>
  <c r="I15" i="31"/>
  <c r="D15" i="31"/>
  <c r="I14" i="31"/>
  <c r="D14" i="31"/>
  <c r="I13" i="31"/>
  <c r="D13" i="31"/>
  <c r="I12" i="31"/>
  <c r="D12" i="31"/>
  <c r="I11" i="31"/>
  <c r="D11" i="31"/>
  <c r="M52" i="29"/>
  <c r="N52" i="29"/>
  <c r="O52" i="29"/>
  <c r="P52" i="29"/>
  <c r="Q52" i="29"/>
  <c r="L52" i="29"/>
  <c r="M37" i="29"/>
  <c r="N37" i="29"/>
  <c r="O37" i="29"/>
  <c r="P37" i="29"/>
  <c r="Q37" i="29"/>
  <c r="L37" i="29"/>
  <c r="M22" i="29"/>
  <c r="N22" i="29"/>
  <c r="O22" i="29"/>
  <c r="P22" i="29"/>
  <c r="Q22" i="29"/>
  <c r="L22" i="29"/>
  <c r="K90" i="30"/>
  <c r="AJ21" i="30" s="1"/>
  <c r="AJ35" i="30" s="1"/>
  <c r="I90" i="30"/>
  <c r="H90" i="30"/>
  <c r="AJ8" i="30" s="1"/>
  <c r="F90" i="30"/>
  <c r="E90" i="30"/>
  <c r="AJ17" i="30" s="1"/>
  <c r="D90" i="30"/>
  <c r="AJ18" i="30" s="1"/>
  <c r="AJ32" i="30" s="1"/>
  <c r="J89" i="30"/>
  <c r="J88" i="30"/>
  <c r="J87" i="30"/>
  <c r="L87" i="30" s="1"/>
  <c r="J86" i="30"/>
  <c r="J85" i="30"/>
  <c r="J84" i="30"/>
  <c r="J83" i="30"/>
  <c r="J82" i="30"/>
  <c r="J81" i="30"/>
  <c r="J80" i="30"/>
  <c r="K77" i="30"/>
  <c r="AI10" i="30" s="1"/>
  <c r="I77" i="30"/>
  <c r="H77" i="30"/>
  <c r="Z8" i="30" s="1"/>
  <c r="F77" i="30"/>
  <c r="E77" i="30"/>
  <c r="AI17" i="30" s="1"/>
  <c r="J76" i="30"/>
  <c r="J75" i="30"/>
  <c r="D75" i="30"/>
  <c r="J74" i="30"/>
  <c r="L74" i="30" s="1"/>
  <c r="C87" i="30" s="1"/>
  <c r="J73" i="30"/>
  <c r="D73" i="30"/>
  <c r="J72" i="30"/>
  <c r="J71" i="30"/>
  <c r="J70" i="30"/>
  <c r="J69" i="30"/>
  <c r="J68" i="30"/>
  <c r="J67" i="30"/>
  <c r="I64" i="30"/>
  <c r="E64" i="30"/>
  <c r="AH17" i="30" s="1"/>
  <c r="J63" i="30"/>
  <c r="J62" i="30"/>
  <c r="L61" i="30"/>
  <c r="C74" i="30" s="1"/>
  <c r="J60" i="30"/>
  <c r="J59" i="30"/>
  <c r="D59" i="30"/>
  <c r="J58" i="30"/>
  <c r="J57" i="30"/>
  <c r="J56" i="30"/>
  <c r="D56" i="30"/>
  <c r="K55" i="30"/>
  <c r="K64" i="30" s="1"/>
  <c r="AH10" i="30" s="1"/>
  <c r="H55" i="30"/>
  <c r="J55" i="30" s="1"/>
  <c r="F55" i="30"/>
  <c r="D55" i="30"/>
  <c r="J54" i="30"/>
  <c r="F54" i="30"/>
  <c r="I51" i="30"/>
  <c r="E51" i="30"/>
  <c r="AG17" i="30" s="1"/>
  <c r="J50" i="30"/>
  <c r="J49" i="30"/>
  <c r="J48" i="30"/>
  <c r="J47" i="30"/>
  <c r="J46" i="30"/>
  <c r="J45" i="30"/>
  <c r="J44" i="30"/>
  <c r="J43" i="30"/>
  <c r="K42" i="30"/>
  <c r="K51" i="30" s="1"/>
  <c r="H42" i="30"/>
  <c r="H51" i="30" s="1"/>
  <c r="X8" i="30" s="1"/>
  <c r="F42" i="30"/>
  <c r="F51" i="30" s="1"/>
  <c r="D42" i="30"/>
  <c r="J41" i="30"/>
  <c r="D41" i="30"/>
  <c r="K38" i="30"/>
  <c r="AF21" i="30" s="1"/>
  <c r="AF35" i="30" s="1"/>
  <c r="I38" i="30"/>
  <c r="H38" i="30"/>
  <c r="W8" i="30" s="1"/>
  <c r="F38" i="30"/>
  <c r="E38" i="30"/>
  <c r="D38" i="30"/>
  <c r="AF7" i="30" s="1"/>
  <c r="J37" i="30"/>
  <c r="J36" i="30"/>
  <c r="J35" i="30"/>
  <c r="J34" i="30"/>
  <c r="J33" i="30"/>
  <c r="J32" i="30"/>
  <c r="J31" i="30"/>
  <c r="J30" i="30"/>
  <c r="J29" i="30"/>
  <c r="J28" i="30"/>
  <c r="K25" i="30"/>
  <c r="AE21" i="30" s="1"/>
  <c r="AE35" i="30" s="1"/>
  <c r="I25" i="30"/>
  <c r="H25" i="30"/>
  <c r="V8" i="30" s="1"/>
  <c r="AE8" i="30" s="1"/>
  <c r="F25" i="30"/>
  <c r="E25" i="30"/>
  <c r="AE17" i="30" s="1"/>
  <c r="D25" i="30"/>
  <c r="AE18" i="30" s="1"/>
  <c r="AE32" i="30" s="1"/>
  <c r="C25" i="30"/>
  <c r="AE6" i="30" s="1"/>
  <c r="AE16" i="30" s="1"/>
  <c r="AE30" i="30" s="1"/>
  <c r="J24" i="30"/>
  <c r="G24" i="30"/>
  <c r="J23" i="30"/>
  <c r="G23" i="30"/>
  <c r="J22" i="30"/>
  <c r="G22" i="30"/>
  <c r="J21" i="30"/>
  <c r="G21" i="30"/>
  <c r="J20" i="30"/>
  <c r="G20" i="30"/>
  <c r="J19" i="30"/>
  <c r="G19" i="30"/>
  <c r="AA33" i="30"/>
  <c r="Z33" i="30"/>
  <c r="Y33" i="30"/>
  <c r="X33" i="30"/>
  <c r="W33" i="30"/>
  <c r="V33" i="30"/>
  <c r="J18" i="30"/>
  <c r="G18" i="30"/>
  <c r="J17" i="30"/>
  <c r="G17" i="30"/>
  <c r="J16" i="30"/>
  <c r="G16" i="30"/>
  <c r="J15" i="30"/>
  <c r="G15" i="30"/>
  <c r="AJ10" i="30"/>
  <c r="AA9" i="30"/>
  <c r="AE31" i="30" l="1"/>
  <c r="AE41" i="30" s="1"/>
  <c r="AE25" i="30"/>
  <c r="AG31" i="30"/>
  <c r="AI31" i="30"/>
  <c r="AJ31" i="30"/>
  <c r="AH31" i="30"/>
  <c r="L16" i="31"/>
  <c r="L24" i="31"/>
  <c r="L32" i="31"/>
  <c r="L40" i="31"/>
  <c r="L14" i="31"/>
  <c r="L22" i="31"/>
  <c r="L30" i="31"/>
  <c r="L38" i="31"/>
  <c r="L18" i="31"/>
  <c r="L26" i="31"/>
  <c r="L35" i="31"/>
  <c r="L41" i="31"/>
  <c r="L17" i="31"/>
  <c r="L25" i="31"/>
  <c r="L33" i="31"/>
  <c r="L19" i="31"/>
  <c r="L27" i="31"/>
  <c r="L12" i="31"/>
  <c r="L20" i="31"/>
  <c r="L28" i="31"/>
  <c r="L36" i="31"/>
  <c r="L13" i="31"/>
  <c r="L21" i="31"/>
  <c r="L29" i="31"/>
  <c r="L37" i="31"/>
  <c r="L34" i="31"/>
  <c r="L15" i="31"/>
  <c r="L23" i="31"/>
  <c r="L31" i="31"/>
  <c r="L39" i="31"/>
  <c r="AF10" i="30"/>
  <c r="H14" i="31"/>
  <c r="J14" i="31" s="1"/>
  <c r="H15" i="31"/>
  <c r="J15" i="31" s="1"/>
  <c r="H16" i="31"/>
  <c r="J16" i="31" s="1"/>
  <c r="H17" i="31"/>
  <c r="J17" i="31" s="1"/>
  <c r="H18" i="31"/>
  <c r="J18" i="31" s="1"/>
  <c r="H19" i="31"/>
  <c r="J19" i="31" s="1"/>
  <c r="H21" i="31"/>
  <c r="J21" i="31" s="1"/>
  <c r="H22" i="31"/>
  <c r="J22" i="31" s="1"/>
  <c r="H23" i="31"/>
  <c r="J23" i="31" s="1"/>
  <c r="H24" i="31"/>
  <c r="J24" i="31" s="1"/>
  <c r="H25" i="31"/>
  <c r="J25" i="31" s="1"/>
  <c r="H41" i="31"/>
  <c r="J41" i="31" s="1"/>
  <c r="L20" i="30"/>
  <c r="C33" i="30" s="1"/>
  <c r="G33" i="30" s="1"/>
  <c r="L33" i="30" s="1"/>
  <c r="C46" i="30" s="1"/>
  <c r="G46" i="30" s="1"/>
  <c r="L46" i="30" s="1"/>
  <c r="C59" i="30" s="1"/>
  <c r="G59" i="30" s="1"/>
  <c r="L59" i="30" s="1"/>
  <c r="C72" i="30" s="1"/>
  <c r="G72" i="30" s="1"/>
  <c r="L72" i="30" s="1"/>
  <c r="C85" i="30" s="1"/>
  <c r="G85" i="30" s="1"/>
  <c r="L85" i="30" s="1"/>
  <c r="AA35" i="30"/>
  <c r="V38" i="30"/>
  <c r="W35" i="30"/>
  <c r="D51" i="30"/>
  <c r="AG18" i="30" s="1"/>
  <c r="AG32" i="30" s="1"/>
  <c r="X35" i="30"/>
  <c r="Y35" i="30"/>
  <c r="Z35" i="30"/>
  <c r="AJ7" i="30"/>
  <c r="L21" i="30"/>
  <c r="C34" i="30" s="1"/>
  <c r="G34" i="30" s="1"/>
  <c r="L34" i="30" s="1"/>
  <c r="C47" i="30" s="1"/>
  <c r="G47" i="30" s="1"/>
  <c r="L47" i="30" s="1"/>
  <c r="C60" i="30" s="1"/>
  <c r="G60" i="30" s="1"/>
  <c r="L60" i="30" s="1"/>
  <c r="C73" i="30" s="1"/>
  <c r="G73" i="30" s="1"/>
  <c r="L73" i="30" s="1"/>
  <c r="C86" i="30" s="1"/>
  <c r="G86" i="30" s="1"/>
  <c r="L86" i="30" s="1"/>
  <c r="F64" i="30"/>
  <c r="AH9" i="30" s="1"/>
  <c r="AI9" i="30"/>
  <c r="H64" i="30"/>
  <c r="Y8" i="30" s="1"/>
  <c r="AH8" i="30" s="1"/>
  <c r="H20" i="31"/>
  <c r="H36" i="31"/>
  <c r="J36" i="31" s="1"/>
  <c r="AF9" i="30"/>
  <c r="AE7" i="30"/>
  <c r="L19" i="30"/>
  <c r="C32" i="30" s="1"/>
  <c r="G32" i="30" s="1"/>
  <c r="L32" i="30" s="1"/>
  <c r="C45" i="30" s="1"/>
  <c r="G45" i="30" s="1"/>
  <c r="L45" i="30" s="1"/>
  <c r="C58" i="30" s="1"/>
  <c r="G58" i="30" s="1"/>
  <c r="L58" i="30" s="1"/>
  <c r="C71" i="30" s="1"/>
  <c r="G71" i="30" s="1"/>
  <c r="L71" i="30" s="1"/>
  <c r="C84" i="30" s="1"/>
  <c r="G84" i="30" s="1"/>
  <c r="L84" i="30" s="1"/>
  <c r="H26" i="31"/>
  <c r="J26" i="31" s="1"/>
  <c r="H28" i="31"/>
  <c r="J28" i="31" s="1"/>
  <c r="H31" i="31"/>
  <c r="J31" i="31" s="1"/>
  <c r="H32" i="31"/>
  <c r="H35" i="31"/>
  <c r="J35" i="31" s="1"/>
  <c r="H27" i="31"/>
  <c r="J27" i="31" s="1"/>
  <c r="H29" i="31"/>
  <c r="J29" i="31" s="1"/>
  <c r="H30" i="31"/>
  <c r="J30" i="31" s="1"/>
  <c r="M30" i="31" s="1"/>
  <c r="H33" i="31"/>
  <c r="J33" i="31" s="1"/>
  <c r="H34" i="31"/>
  <c r="J34" i="31" s="1"/>
  <c r="L24" i="30"/>
  <c r="C37" i="30" s="1"/>
  <c r="G37" i="30" s="1"/>
  <c r="L37" i="30" s="1"/>
  <c r="C50" i="30" s="1"/>
  <c r="G50" i="30" s="1"/>
  <c r="L50" i="30" s="1"/>
  <c r="C63" i="30" s="1"/>
  <c r="G63" i="30" s="1"/>
  <c r="L63" i="30" s="1"/>
  <c r="C76" i="30" s="1"/>
  <c r="G76" i="30" s="1"/>
  <c r="L76" i="30" s="1"/>
  <c r="C89" i="30" s="1"/>
  <c r="G89" i="30" s="1"/>
  <c r="L89" i="30" s="1"/>
  <c r="AG9" i="30"/>
  <c r="AE19" i="30"/>
  <c r="L22" i="30"/>
  <c r="C35" i="30" s="1"/>
  <c r="G35" i="30" s="1"/>
  <c r="L35" i="30" s="1"/>
  <c r="C48" i="30" s="1"/>
  <c r="G48" i="30" s="1"/>
  <c r="L48" i="30" s="1"/>
  <c r="C61" i="30" s="1"/>
  <c r="AF17" i="30"/>
  <c r="J38" i="30"/>
  <c r="AF20" i="30" s="1"/>
  <c r="AA37" i="30"/>
  <c r="L15" i="30"/>
  <c r="C28" i="30" s="1"/>
  <c r="G28" i="30" s="1"/>
  <c r="L28" i="30" s="1"/>
  <c r="C41" i="30" s="1"/>
  <c r="X37" i="30"/>
  <c r="D64" i="30"/>
  <c r="AH18" i="30" s="1"/>
  <c r="AH32" i="30" s="1"/>
  <c r="H11" i="31"/>
  <c r="J11" i="31" s="1"/>
  <c r="H38" i="31"/>
  <c r="J38" i="31" s="1"/>
  <c r="H39" i="31"/>
  <c r="J39" i="31" s="1"/>
  <c r="H40" i="31"/>
  <c r="J40" i="31" s="1"/>
  <c r="M40" i="31" s="1"/>
  <c r="H37" i="31"/>
  <c r="J37" i="31" s="1"/>
  <c r="M37" i="31" s="1"/>
  <c r="L18" i="30"/>
  <c r="C31" i="30" s="1"/>
  <c r="G31" i="30" s="1"/>
  <c r="L31" i="30" s="1"/>
  <c r="C44" i="30" s="1"/>
  <c r="G44" i="30" s="1"/>
  <c r="L44" i="30" s="1"/>
  <c r="C57" i="30" s="1"/>
  <c r="G57" i="30" s="1"/>
  <c r="L57" i="30" s="1"/>
  <c r="C70" i="30" s="1"/>
  <c r="G70" i="30" s="1"/>
  <c r="L70" i="30" s="1"/>
  <c r="C83" i="30" s="1"/>
  <c r="G83" i="30" s="1"/>
  <c r="L83" i="30" s="1"/>
  <c r="AJ9" i="30"/>
  <c r="AE10" i="30"/>
  <c r="L17" i="30"/>
  <c r="C30" i="30" s="1"/>
  <c r="G30" i="30" s="1"/>
  <c r="L30" i="30" s="1"/>
  <c r="C43" i="30" s="1"/>
  <c r="G43" i="30" s="1"/>
  <c r="L43" i="30" s="1"/>
  <c r="C56" i="30" s="1"/>
  <c r="G56" i="30" s="1"/>
  <c r="L56" i="30" s="1"/>
  <c r="C69" i="30" s="1"/>
  <c r="G69" i="30" s="1"/>
  <c r="L69" i="30" s="1"/>
  <c r="C82" i="30" s="1"/>
  <c r="G82" i="30" s="1"/>
  <c r="L82" i="30" s="1"/>
  <c r="W38" i="30"/>
  <c r="AE9" i="30"/>
  <c r="AE12" i="30"/>
  <c r="AI8" i="30"/>
  <c r="Z9" i="30"/>
  <c r="AF18" i="30"/>
  <c r="AF32" i="30" s="1"/>
  <c r="J77" i="30"/>
  <c r="AI20" i="30" s="1"/>
  <c r="AI34" i="30" s="1"/>
  <c r="G25" i="30"/>
  <c r="J25" i="30"/>
  <c r="W36" i="30"/>
  <c r="J90" i="30"/>
  <c r="AJ20" i="30" s="1"/>
  <c r="AJ34" i="30" s="1"/>
  <c r="L16" i="30"/>
  <c r="C29" i="30" s="1"/>
  <c r="G29" i="30" s="1"/>
  <c r="L29" i="30" s="1"/>
  <c r="C42" i="30" s="1"/>
  <c r="G42" i="30" s="1"/>
  <c r="Z36" i="30"/>
  <c r="L23" i="30"/>
  <c r="C36" i="30" s="1"/>
  <c r="G36" i="30" s="1"/>
  <c r="L36" i="30" s="1"/>
  <c r="C49" i="30" s="1"/>
  <c r="G49" i="30" s="1"/>
  <c r="L49" i="30" s="1"/>
  <c r="C62" i="30" s="1"/>
  <c r="G62" i="30" s="1"/>
  <c r="L62" i="30" s="1"/>
  <c r="C75" i="30" s="1"/>
  <c r="G75" i="30" s="1"/>
  <c r="L75" i="30" s="1"/>
  <c r="C88" i="30" s="1"/>
  <c r="G88" i="30" s="1"/>
  <c r="L88" i="30" s="1"/>
  <c r="J64" i="30"/>
  <c r="AH20" i="30" s="1"/>
  <c r="H12" i="31"/>
  <c r="J12" i="31" s="1"/>
  <c r="M12" i="31" s="1"/>
  <c r="H13" i="31"/>
  <c r="J13" i="31" s="1"/>
  <c r="Y38" i="30"/>
  <c r="D77" i="30"/>
  <c r="AI18" i="30" s="1"/>
  <c r="AI32" i="30" s="1"/>
  <c r="AI21" i="30"/>
  <c r="AI35" i="30" s="1"/>
  <c r="AF8" i="30"/>
  <c r="W9" i="30"/>
  <c r="AG8" i="30"/>
  <c r="X9" i="30"/>
  <c r="Y9" i="30"/>
  <c r="AG21" i="30"/>
  <c r="AG35" i="30" s="1"/>
  <c r="AG10" i="30"/>
  <c r="AG7" i="30"/>
  <c r="V37" i="30"/>
  <c r="V36" i="30"/>
  <c r="W37" i="30"/>
  <c r="X38" i="30"/>
  <c r="H26" i="30"/>
  <c r="J42" i="30"/>
  <c r="J51" i="30" s="1"/>
  <c r="V35" i="30"/>
  <c r="V9" i="30"/>
  <c r="X36" i="30"/>
  <c r="Y37" i="30"/>
  <c r="Z38" i="30"/>
  <c r="Y36" i="30"/>
  <c r="Z37" i="30"/>
  <c r="AA38" i="30"/>
  <c r="AA36" i="30"/>
  <c r="Q65" i="29"/>
  <c r="P65" i="29"/>
  <c r="O65" i="29"/>
  <c r="N65" i="29"/>
  <c r="M65" i="29"/>
  <c r="L65" i="29"/>
  <c r="Q64" i="29"/>
  <c r="P64" i="29"/>
  <c r="O64" i="29"/>
  <c r="N64" i="29"/>
  <c r="M64" i="29"/>
  <c r="L64" i="29"/>
  <c r="Q62" i="29"/>
  <c r="P62" i="29"/>
  <c r="O62" i="29"/>
  <c r="N62" i="29"/>
  <c r="M62" i="29"/>
  <c r="Q61" i="29"/>
  <c r="P61" i="29"/>
  <c r="O61" i="29"/>
  <c r="N61" i="29"/>
  <c r="M61" i="29"/>
  <c r="L61" i="29"/>
  <c r="Q60" i="29"/>
  <c r="P60" i="29"/>
  <c r="O60" i="29"/>
  <c r="N60" i="29"/>
  <c r="M60" i="29"/>
  <c r="L60" i="29"/>
  <c r="Q59" i="29"/>
  <c r="P59" i="29"/>
  <c r="O59" i="29"/>
  <c r="N59" i="29"/>
  <c r="M59" i="29"/>
  <c r="L59" i="29"/>
  <c r="N56" i="29"/>
  <c r="Q56" i="29"/>
  <c r="P56" i="29"/>
  <c r="O56" i="29"/>
  <c r="M56" i="29"/>
  <c r="L56" i="29"/>
  <c r="L41" i="29"/>
  <c r="Q41" i="29"/>
  <c r="P41" i="29"/>
  <c r="O41" i="29"/>
  <c r="N41" i="29"/>
  <c r="M41" i="29"/>
  <c r="S32" i="29"/>
  <c r="S30" i="29"/>
  <c r="Q25" i="29"/>
  <c r="Y18" i="29" s="1"/>
  <c r="P25" i="29"/>
  <c r="X18" i="29" s="1"/>
  <c r="O25" i="29"/>
  <c r="W18" i="29" s="1"/>
  <c r="N25" i="29"/>
  <c r="V18" i="29" s="1"/>
  <c r="M25" i="29"/>
  <c r="U18" i="29" s="1"/>
  <c r="L25" i="29"/>
  <c r="T18" i="29" s="1"/>
  <c r="T19" i="29" s="1"/>
  <c r="T22" i="29" s="1"/>
  <c r="Y24" i="29"/>
  <c r="X24" i="29"/>
  <c r="W24" i="29"/>
  <c r="V24" i="29"/>
  <c r="U24" i="29"/>
  <c r="T24" i="29"/>
  <c r="W23" i="29"/>
  <c r="V23" i="29"/>
  <c r="S23" i="29"/>
  <c r="S31" i="29" s="1"/>
  <c r="X23" i="29"/>
  <c r="O63" i="29"/>
  <c r="N63" i="29"/>
  <c r="M63" i="29"/>
  <c r="T23" i="29"/>
  <c r="S18" i="29"/>
  <c r="Y17" i="29"/>
  <c r="X17" i="29"/>
  <c r="W17" i="29"/>
  <c r="V17" i="29"/>
  <c r="U17" i="29"/>
  <c r="S17" i="29"/>
  <c r="Y16" i="29"/>
  <c r="S16" i="29"/>
  <c r="W16" i="29"/>
  <c r="V16" i="29"/>
  <c r="U16" i="29"/>
  <c r="T13" i="29"/>
  <c r="Q12" i="29"/>
  <c r="P12" i="29"/>
  <c r="O12" i="29"/>
  <c r="N12" i="29"/>
  <c r="M12" i="29"/>
  <c r="L12" i="29"/>
  <c r="I27" i="29"/>
  <c r="I30" i="29" s="1"/>
  <c r="H27" i="29"/>
  <c r="H30" i="29" s="1"/>
  <c r="G27" i="29"/>
  <c r="G30" i="29" s="1"/>
  <c r="F27" i="29"/>
  <c r="F30" i="29" s="1"/>
  <c r="E27" i="29"/>
  <c r="E30" i="29" s="1"/>
  <c r="D27" i="29"/>
  <c r="D30" i="29" s="1"/>
  <c r="C27" i="29"/>
  <c r="C30" i="29" s="1"/>
  <c r="Q8" i="29"/>
  <c r="Q10" i="29" s="1"/>
  <c r="P8" i="29"/>
  <c r="P10" i="29" s="1"/>
  <c r="O8" i="29"/>
  <c r="O10" i="29" s="1"/>
  <c r="N8" i="29"/>
  <c r="N10" i="29" s="1"/>
  <c r="M8" i="29"/>
  <c r="M11" i="29" s="1"/>
  <c r="L8" i="29"/>
  <c r="L11" i="29" s="1"/>
  <c r="AE33" i="30" l="1"/>
  <c r="M27" i="31"/>
  <c r="M23" i="31"/>
  <c r="M26" i="31"/>
  <c r="M34" i="31"/>
  <c r="AF31" i="30"/>
  <c r="M16" i="31"/>
  <c r="M18" i="31"/>
  <c r="M28" i="31"/>
  <c r="M25" i="31"/>
  <c r="M14" i="31"/>
  <c r="M22" i="31"/>
  <c r="AF34" i="30"/>
  <c r="M39" i="31"/>
  <c r="M29" i="31"/>
  <c r="M19" i="31"/>
  <c r="M13" i="31"/>
  <c r="M38" i="31"/>
  <c r="M35" i="31"/>
  <c r="M36" i="31"/>
  <c r="M41" i="31"/>
  <c r="M17" i="31"/>
  <c r="K32" i="31"/>
  <c r="J32" i="31"/>
  <c r="M32" i="31" s="1"/>
  <c r="K20" i="31"/>
  <c r="J20" i="31"/>
  <c r="M20" i="31" s="1"/>
  <c r="AH34" i="30"/>
  <c r="M31" i="31"/>
  <c r="M24" i="31"/>
  <c r="M15" i="31"/>
  <c r="K19" i="31"/>
  <c r="AH21" i="30"/>
  <c r="AH35" i="30" s="1"/>
  <c r="K34" i="31"/>
  <c r="K28" i="31"/>
  <c r="K23" i="31"/>
  <c r="K30" i="31"/>
  <c r="K12" i="31"/>
  <c r="K26" i="31"/>
  <c r="K40" i="31"/>
  <c r="K13" i="31"/>
  <c r="K39" i="31"/>
  <c r="K35" i="31"/>
  <c r="K36" i="31"/>
  <c r="K41" i="31"/>
  <c r="K17" i="31"/>
  <c r="K25" i="31"/>
  <c r="K16" i="31"/>
  <c r="K31" i="31"/>
  <c r="K24" i="31"/>
  <c r="K15" i="31"/>
  <c r="K14" i="31"/>
  <c r="K37" i="31"/>
  <c r="K33" i="31"/>
  <c r="K22" i="31"/>
  <c r="K21" i="31"/>
  <c r="K29" i="31"/>
  <c r="K38" i="31"/>
  <c r="K27" i="31"/>
  <c r="K18" i="31"/>
  <c r="L25" i="30"/>
  <c r="AH7" i="30"/>
  <c r="AE11" i="30"/>
  <c r="AF6" i="30" s="1"/>
  <c r="AF12" i="30" s="1"/>
  <c r="AI7" i="30"/>
  <c r="AE20" i="30"/>
  <c r="I26" i="30"/>
  <c r="C38" i="30"/>
  <c r="G38" i="30" s="1"/>
  <c r="L38" i="30" s="1"/>
  <c r="L42" i="30"/>
  <c r="C55" i="30" s="1"/>
  <c r="G55" i="30" s="1"/>
  <c r="L55" i="30" s="1"/>
  <c r="C68" i="30" s="1"/>
  <c r="G68" i="30" s="1"/>
  <c r="L68" i="30" s="1"/>
  <c r="C81" i="30" s="1"/>
  <c r="G81" i="30" s="1"/>
  <c r="L81" i="30" s="1"/>
  <c r="O11" i="29"/>
  <c r="O26" i="29"/>
  <c r="N26" i="29"/>
  <c r="Q26" i="29"/>
  <c r="W19" i="29"/>
  <c r="W22" i="29" s="1"/>
  <c r="P11" i="29"/>
  <c r="P26" i="29"/>
  <c r="AG20" i="30"/>
  <c r="C51" i="30"/>
  <c r="H52" i="30" s="1"/>
  <c r="I52" i="30" s="1"/>
  <c r="G41" i="30"/>
  <c r="U19" i="29"/>
  <c r="U22" i="29" s="1"/>
  <c r="U41" i="29" s="1"/>
  <c r="L26" i="29"/>
  <c r="P63" i="29"/>
  <c r="V19" i="29"/>
  <c r="V22" i="29" s="1"/>
  <c r="M26" i="29"/>
  <c r="N11" i="29"/>
  <c r="U23" i="29"/>
  <c r="Z16" i="29"/>
  <c r="Y19" i="29"/>
  <c r="Y22" i="29" s="1"/>
  <c r="Y41" i="29" s="1"/>
  <c r="Q11" i="29"/>
  <c r="X16" i="29"/>
  <c r="X19" i="29" s="1"/>
  <c r="X22" i="29" s="1"/>
  <c r="X41" i="29" s="1"/>
  <c r="Q63" i="29"/>
  <c r="M10" i="29"/>
  <c r="Y23" i="29"/>
  <c r="L63" i="29"/>
  <c r="L10" i="29"/>
  <c r="T41" i="29" l="1"/>
  <c r="AG34" i="30"/>
  <c r="AE22" i="30"/>
  <c r="AE23" i="30"/>
  <c r="M21" i="31"/>
  <c r="M33" i="31"/>
  <c r="V25" i="29"/>
  <c r="V31" i="29" s="1"/>
  <c r="V41" i="29"/>
  <c r="W25" i="29"/>
  <c r="W33" i="29" s="1"/>
  <c r="W41" i="29"/>
  <c r="AF16" i="30"/>
  <c r="AF25" i="30" s="1"/>
  <c r="AF11" i="30"/>
  <c r="AG6" i="30" s="1"/>
  <c r="AG11" i="30" s="1"/>
  <c r="AH6" i="30" s="1"/>
  <c r="AE34" i="30"/>
  <c r="AE37" i="30" s="1"/>
  <c r="H39" i="30"/>
  <c r="I39" i="30" s="1"/>
  <c r="U25" i="29"/>
  <c r="U32" i="29" s="1"/>
  <c r="L41" i="30"/>
  <c r="C54" i="30" s="1"/>
  <c r="G51" i="30"/>
  <c r="L51" i="30" s="1"/>
  <c r="X25" i="29"/>
  <c r="Y25" i="29"/>
  <c r="Y30" i="29" s="1"/>
  <c r="T25" i="29"/>
  <c r="T30" i="29" s="1"/>
  <c r="V32" i="29" l="1"/>
  <c r="W31" i="29"/>
  <c r="V30" i="29"/>
  <c r="W32" i="29"/>
  <c r="W30" i="29"/>
  <c r="W26" i="29"/>
  <c r="W29" i="29"/>
  <c r="V33" i="29"/>
  <c r="V29" i="29"/>
  <c r="V26" i="29"/>
  <c r="AG12" i="30"/>
  <c r="AG16" i="30"/>
  <c r="AE36" i="30"/>
  <c r="AF19" i="30"/>
  <c r="AF23" i="30" s="1"/>
  <c r="AF30" i="30"/>
  <c r="U26" i="29"/>
  <c r="U29" i="29"/>
  <c r="U31" i="29"/>
  <c r="U30" i="29"/>
  <c r="U33" i="29"/>
  <c r="C64" i="30"/>
  <c r="H65" i="30" s="1"/>
  <c r="I65" i="30" s="1"/>
  <c r="G54" i="30"/>
  <c r="AH11" i="30"/>
  <c r="AI6" i="30" s="1"/>
  <c r="AH16" i="30"/>
  <c r="AH25" i="30" s="1"/>
  <c r="AH12" i="30"/>
  <c r="T29" i="29"/>
  <c r="T33" i="29"/>
  <c r="T26" i="29"/>
  <c r="T31" i="29"/>
  <c r="T32" i="29"/>
  <c r="Y31" i="29"/>
  <c r="Y33" i="29"/>
  <c r="Y32" i="29"/>
  <c r="Y26" i="29"/>
  <c r="Y29" i="29"/>
  <c r="X33" i="29"/>
  <c r="X32" i="29"/>
  <c r="X29" i="29"/>
  <c r="X26" i="29"/>
  <c r="X31" i="29"/>
  <c r="X30" i="29"/>
  <c r="H49" i="20" l="1"/>
  <c r="AG19" i="30"/>
  <c r="AG23" i="30" s="1"/>
  <c r="AG25" i="30"/>
  <c r="AF33" i="30"/>
  <c r="AF37" i="30" s="1"/>
  <c r="AF41" i="30"/>
  <c r="H51" i="20"/>
  <c r="H54" i="20"/>
  <c r="I54" i="20" s="1"/>
  <c r="H53" i="20"/>
  <c r="I53" i="20" s="1"/>
  <c r="H52" i="20"/>
  <c r="I52" i="20" s="1"/>
  <c r="H50" i="20"/>
  <c r="AG30" i="30"/>
  <c r="AH19" i="30"/>
  <c r="AH30" i="30"/>
  <c r="AF22" i="30"/>
  <c r="AI16" i="30"/>
  <c r="AI25" i="30" s="1"/>
  <c r="AI11" i="30"/>
  <c r="AJ6" i="30" s="1"/>
  <c r="AI12" i="30"/>
  <c r="L54" i="30"/>
  <c r="C67" i="30" s="1"/>
  <c r="G64" i="30"/>
  <c r="L64" i="30" s="1"/>
  <c r="AG33" i="30" l="1"/>
  <c r="AG37" i="30" s="1"/>
  <c r="AG41" i="30"/>
  <c r="AG22" i="30"/>
  <c r="AH33" i="30"/>
  <c r="AH37" i="30" s="1"/>
  <c r="AH41" i="30"/>
  <c r="AH22" i="30"/>
  <c r="AH23" i="30"/>
  <c r="AG36" i="30"/>
  <c r="AF36" i="30"/>
  <c r="AF38" i="30" s="1"/>
  <c r="AI19" i="30"/>
  <c r="AI30" i="30"/>
  <c r="AI41" i="30" s="1"/>
  <c r="AH36" i="30"/>
  <c r="C77" i="30"/>
  <c r="H78" i="30" s="1"/>
  <c r="I78" i="30" s="1"/>
  <c r="G67" i="30"/>
  <c r="AJ16" i="30"/>
  <c r="AJ25" i="30" s="1"/>
  <c r="AK25" i="30" s="1"/>
  <c r="AJ11" i="30"/>
  <c r="AJ12" i="30"/>
  <c r="AK12" i="30" s="1"/>
  <c r="C65" i="25"/>
  <c r="C57" i="25"/>
  <c r="C49" i="25"/>
  <c r="C41" i="25"/>
  <c r="C32" i="25"/>
  <c r="V29" i="25"/>
  <c r="U29" i="25"/>
  <c r="T29" i="25"/>
  <c r="S29" i="25"/>
  <c r="R29" i="25"/>
  <c r="Q29" i="25"/>
  <c r="P29" i="25"/>
  <c r="M29" i="25"/>
  <c r="M32" i="25" s="1"/>
  <c r="L29" i="25"/>
  <c r="L32" i="25" s="1"/>
  <c r="K29" i="25"/>
  <c r="K31" i="25" s="1"/>
  <c r="J29" i="25"/>
  <c r="J32" i="25" s="1"/>
  <c r="I29" i="25"/>
  <c r="I32" i="25" s="1"/>
  <c r="R28" i="25" s="1"/>
  <c r="H29" i="25"/>
  <c r="H32" i="25" s="1"/>
  <c r="Q28" i="25" s="1"/>
  <c r="G29" i="25"/>
  <c r="G31" i="25" s="1"/>
  <c r="O28" i="25"/>
  <c r="V27" i="25"/>
  <c r="U27" i="25"/>
  <c r="T27" i="25"/>
  <c r="S27" i="25"/>
  <c r="R27" i="25"/>
  <c r="Q27" i="25"/>
  <c r="P27" i="25"/>
  <c r="M11" i="25"/>
  <c r="L11" i="25"/>
  <c r="K11" i="25"/>
  <c r="J11" i="25"/>
  <c r="H11" i="25"/>
  <c r="G11" i="25"/>
  <c r="F11" i="25"/>
  <c r="F19" i="25" s="1"/>
  <c r="E11" i="25"/>
  <c r="E18" i="25" s="1"/>
  <c r="D11" i="25"/>
  <c r="D18" i="25" s="1"/>
  <c r="C11" i="25"/>
  <c r="C19" i="25" s="1"/>
  <c r="I6" i="25"/>
  <c r="T20" i="24"/>
  <c r="S20" i="24"/>
  <c r="R20" i="24"/>
  <c r="Q20" i="24"/>
  <c r="P20" i="24"/>
  <c r="O20" i="24"/>
  <c r="N20" i="24"/>
  <c r="M20" i="24"/>
  <c r="L20" i="24"/>
  <c r="K20" i="24"/>
  <c r="J20" i="24"/>
  <c r="H20" i="24"/>
  <c r="G20" i="24"/>
  <c r="F20" i="24"/>
  <c r="E20" i="24"/>
  <c r="D20" i="24"/>
  <c r="C20" i="24"/>
  <c r="I17" i="24"/>
  <c r="I20" i="24" s="1"/>
  <c r="C9" i="24"/>
  <c r="I29" i="24" s="1"/>
  <c r="C115" i="23"/>
  <c r="C114" i="23"/>
  <c r="C113" i="23"/>
  <c r="C112" i="23"/>
  <c r="N111" i="23"/>
  <c r="M111" i="23"/>
  <c r="L111" i="23"/>
  <c r="K111" i="23"/>
  <c r="J111" i="23"/>
  <c r="I111" i="23"/>
  <c r="H111" i="23"/>
  <c r="G111" i="23"/>
  <c r="F111" i="23"/>
  <c r="E111" i="23"/>
  <c r="D111" i="23"/>
  <c r="C111" i="23"/>
  <c r="H54" i="23"/>
  <c r="G54" i="23"/>
  <c r="F54" i="23"/>
  <c r="E54" i="23"/>
  <c r="D54" i="23"/>
  <c r="C54" i="23"/>
  <c r="H53" i="23"/>
  <c r="G53" i="23"/>
  <c r="F53" i="23"/>
  <c r="E53" i="23"/>
  <c r="D53" i="23"/>
  <c r="C53" i="23"/>
  <c r="H52" i="23"/>
  <c r="G52" i="23"/>
  <c r="F52" i="23"/>
  <c r="E52" i="23"/>
  <c r="D52" i="23"/>
  <c r="C52" i="23"/>
  <c r="H51" i="23"/>
  <c r="G51" i="23"/>
  <c r="F51" i="23"/>
  <c r="E51" i="23"/>
  <c r="D51" i="23"/>
  <c r="C51" i="23"/>
  <c r="N45" i="23"/>
  <c r="M45" i="23"/>
  <c r="L45" i="23"/>
  <c r="K45" i="23"/>
  <c r="J45" i="23"/>
  <c r="I45" i="23"/>
  <c r="H45" i="23"/>
  <c r="G45" i="23"/>
  <c r="F45" i="23"/>
  <c r="E45" i="23"/>
  <c r="D45" i="23"/>
  <c r="H38" i="23"/>
  <c r="G38" i="23"/>
  <c r="F38" i="23"/>
  <c r="E38" i="23"/>
  <c r="D38" i="23"/>
  <c r="H37" i="23"/>
  <c r="G37" i="23"/>
  <c r="F37" i="23"/>
  <c r="E37" i="23"/>
  <c r="D37" i="23"/>
  <c r="H36" i="23"/>
  <c r="G36" i="23"/>
  <c r="F36" i="23"/>
  <c r="E36" i="23"/>
  <c r="D36" i="23"/>
  <c r="H35" i="23"/>
  <c r="G35" i="23"/>
  <c r="F35" i="23"/>
  <c r="E35" i="23"/>
  <c r="D35" i="23"/>
  <c r="I25" i="23"/>
  <c r="I51" i="23" s="1"/>
  <c r="J51" i="23" s="1"/>
  <c r="AI33" i="30" l="1"/>
  <c r="AI22" i="30"/>
  <c r="AI23" i="30"/>
  <c r="AG38" i="30"/>
  <c r="AR11" i="16"/>
  <c r="T13" i="24"/>
  <c r="H17" i="25"/>
  <c r="BB7" i="16" s="1"/>
  <c r="AS11" i="16"/>
  <c r="M18" i="25"/>
  <c r="BG8" i="16" s="1"/>
  <c r="BO8" i="16" s="1"/>
  <c r="AX11" i="16"/>
  <c r="J19" i="25"/>
  <c r="BD9" i="16" s="1"/>
  <c r="AU6" i="16"/>
  <c r="AT6" i="16"/>
  <c r="K19" i="25"/>
  <c r="BE9" i="16" s="1"/>
  <c r="AV11" i="16"/>
  <c r="G17" i="25"/>
  <c r="BA7" i="16" s="1"/>
  <c r="L18" i="25"/>
  <c r="BF8" i="16" s="1"/>
  <c r="AW11" i="16"/>
  <c r="K51" i="23"/>
  <c r="J25" i="23"/>
  <c r="AH38" i="30"/>
  <c r="AJ19" i="30"/>
  <c r="AJ23" i="30" s="1"/>
  <c r="AJ30" i="30"/>
  <c r="I38" i="23"/>
  <c r="H19" i="25"/>
  <c r="G77" i="30"/>
  <c r="L77" i="30" s="1"/>
  <c r="L67" i="30"/>
  <c r="C80" i="30" s="1"/>
  <c r="D16" i="25"/>
  <c r="M17" i="25"/>
  <c r="M38" i="25" s="1"/>
  <c r="F16" i="25"/>
  <c r="H16" i="25"/>
  <c r="F18" i="25"/>
  <c r="I11" i="25"/>
  <c r="AU11" i="16" s="1"/>
  <c r="J18" i="25"/>
  <c r="H31" i="25"/>
  <c r="J16" i="25"/>
  <c r="L31" i="25"/>
  <c r="L16" i="25"/>
  <c r="E17" i="25"/>
  <c r="G32" i="25"/>
  <c r="P28" i="25" s="1"/>
  <c r="F17" i="25"/>
  <c r="K32" i="25"/>
  <c r="T28" i="25" s="1"/>
  <c r="V28" i="25"/>
  <c r="I36" i="23"/>
  <c r="S28" i="25"/>
  <c r="I37" i="23"/>
  <c r="U28" i="25"/>
  <c r="J25" i="24"/>
  <c r="R25" i="24"/>
  <c r="H26" i="24"/>
  <c r="P26" i="24"/>
  <c r="F27" i="24"/>
  <c r="N27" i="24"/>
  <c r="D28" i="24"/>
  <c r="L28" i="24"/>
  <c r="T28" i="24"/>
  <c r="E16" i="25"/>
  <c r="M16" i="25"/>
  <c r="BG6" i="16" s="1"/>
  <c r="BO6" i="16" s="1"/>
  <c r="J17" i="25"/>
  <c r="G18" i="25"/>
  <c r="BA8" i="16" s="1"/>
  <c r="D19" i="25"/>
  <c r="L19" i="25"/>
  <c r="M31" i="25"/>
  <c r="C25" i="24"/>
  <c r="K25" i="24"/>
  <c r="S25" i="24"/>
  <c r="I26" i="24"/>
  <c r="Q26" i="24"/>
  <c r="G27" i="24"/>
  <c r="O27" i="24"/>
  <c r="E28" i="24"/>
  <c r="M28" i="24"/>
  <c r="C29" i="24"/>
  <c r="C17" i="25"/>
  <c r="K17" i="25"/>
  <c r="BE7" i="16" s="1"/>
  <c r="H18" i="25"/>
  <c r="E19" i="25"/>
  <c r="M19" i="25"/>
  <c r="M40" i="25" s="1"/>
  <c r="D25" i="24"/>
  <c r="L25" i="24"/>
  <c r="T25" i="24"/>
  <c r="J26" i="24"/>
  <c r="R26" i="24"/>
  <c r="H27" i="24"/>
  <c r="P27" i="24"/>
  <c r="F28" i="24"/>
  <c r="N28" i="24"/>
  <c r="D29" i="24"/>
  <c r="G16" i="25"/>
  <c r="BA6" i="16" s="1"/>
  <c r="BI6" i="16" s="1"/>
  <c r="D17" i="25"/>
  <c r="L17" i="25"/>
  <c r="E25" i="24"/>
  <c r="M25" i="24"/>
  <c r="C26" i="24"/>
  <c r="K26" i="24"/>
  <c r="S26" i="24"/>
  <c r="I27" i="24"/>
  <c r="Q27" i="24"/>
  <c r="G28" i="24"/>
  <c r="O28" i="24"/>
  <c r="E29" i="24"/>
  <c r="G19" i="25"/>
  <c r="BA9" i="16" s="1"/>
  <c r="S13" i="24"/>
  <c r="F25" i="24"/>
  <c r="N25" i="24"/>
  <c r="D26" i="24"/>
  <c r="L26" i="24"/>
  <c r="T26" i="24"/>
  <c r="J27" i="24"/>
  <c r="R27" i="24"/>
  <c r="H28" i="24"/>
  <c r="P28" i="24"/>
  <c r="F29" i="24"/>
  <c r="C18" i="25"/>
  <c r="K18" i="25"/>
  <c r="BE8" i="16" s="1"/>
  <c r="I31" i="25"/>
  <c r="G25" i="24"/>
  <c r="O25" i="24"/>
  <c r="E26" i="24"/>
  <c r="M26" i="24"/>
  <c r="C27" i="24"/>
  <c r="K27" i="24"/>
  <c r="S27" i="24"/>
  <c r="I28" i="24"/>
  <c r="Q28" i="24"/>
  <c r="G29" i="24"/>
  <c r="J31" i="25"/>
  <c r="H25" i="24"/>
  <c r="P25" i="24"/>
  <c r="F26" i="24"/>
  <c r="N26" i="24"/>
  <c r="D27" i="24"/>
  <c r="L27" i="24"/>
  <c r="T27" i="24"/>
  <c r="J28" i="24"/>
  <c r="R28" i="24"/>
  <c r="H29" i="24"/>
  <c r="C16" i="25"/>
  <c r="K16" i="25"/>
  <c r="BE6" i="16" s="1"/>
  <c r="I25" i="24"/>
  <c r="Q25" i="24"/>
  <c r="G26" i="24"/>
  <c r="O26" i="24"/>
  <c r="E27" i="24"/>
  <c r="M27" i="24"/>
  <c r="C28" i="24"/>
  <c r="K28" i="24"/>
  <c r="S28" i="24"/>
  <c r="AK23" i="30" l="1"/>
  <c r="AI37" i="30"/>
  <c r="AI36" i="30"/>
  <c r="AI38" i="30" s="1"/>
  <c r="AJ33" i="30"/>
  <c r="AJ41" i="30"/>
  <c r="AK41" i="30" s="1"/>
  <c r="M39" i="25"/>
  <c r="M37" i="25"/>
  <c r="H38" i="25"/>
  <c r="H46" i="25" s="1"/>
  <c r="H54" i="25" s="1"/>
  <c r="J40" i="25"/>
  <c r="J48" i="25" s="1"/>
  <c r="J56" i="25" s="1"/>
  <c r="L39" i="25"/>
  <c r="L47" i="25" s="1"/>
  <c r="L55" i="25" s="1"/>
  <c r="J38" i="25"/>
  <c r="J46" i="25" s="1"/>
  <c r="J54" i="25" s="1"/>
  <c r="BD7" i="16"/>
  <c r="H37" i="25"/>
  <c r="BB6" i="16"/>
  <c r="M48" i="25"/>
  <c r="M56" i="25" s="1"/>
  <c r="BG9" i="16"/>
  <c r="BO9" i="16" s="1"/>
  <c r="L40" i="25"/>
  <c r="L48" i="25" s="1"/>
  <c r="L56" i="25" s="1"/>
  <c r="BF9" i="16"/>
  <c r="L37" i="25"/>
  <c r="L45" i="25" s="1"/>
  <c r="BF6" i="16"/>
  <c r="J39" i="25"/>
  <c r="J47" i="25" s="1"/>
  <c r="J55" i="25" s="1"/>
  <c r="BD8" i="16"/>
  <c r="I18" i="25"/>
  <c r="AT11" i="16"/>
  <c r="M46" i="25"/>
  <c r="M54" i="25" s="1"/>
  <c r="BG7" i="16"/>
  <c r="BO7" i="16" s="1"/>
  <c r="H40" i="25"/>
  <c r="H48" i="25" s="1"/>
  <c r="H56" i="25" s="1"/>
  <c r="BB9" i="16"/>
  <c r="L38" i="25"/>
  <c r="L46" i="25" s="1"/>
  <c r="L54" i="25" s="1"/>
  <c r="BF7" i="16"/>
  <c r="H39" i="25"/>
  <c r="H47" i="25" s="1"/>
  <c r="H55" i="25" s="1"/>
  <c r="BB8" i="16"/>
  <c r="J37" i="25"/>
  <c r="BD6" i="16"/>
  <c r="L51" i="23"/>
  <c r="K25" i="23"/>
  <c r="AJ22" i="30"/>
  <c r="I28" i="23"/>
  <c r="J38" i="23"/>
  <c r="K38" i="23" s="1"/>
  <c r="G40" i="25"/>
  <c r="G48" i="25" s="1"/>
  <c r="G56" i="25" s="1"/>
  <c r="K39" i="25"/>
  <c r="K47" i="25" s="1"/>
  <c r="K55" i="25" s="1"/>
  <c r="K38" i="25"/>
  <c r="K46" i="25" s="1"/>
  <c r="K54" i="25" s="1"/>
  <c r="D21" i="25"/>
  <c r="K40" i="25"/>
  <c r="K48" i="25" s="1"/>
  <c r="K56" i="25" s="1"/>
  <c r="G80" i="30"/>
  <c r="C90" i="30"/>
  <c r="H91" i="30" s="1"/>
  <c r="I91" i="30" s="1"/>
  <c r="G39" i="25"/>
  <c r="G47" i="25" s="1"/>
  <c r="G55" i="25" s="1"/>
  <c r="F21" i="25"/>
  <c r="I19" i="25"/>
  <c r="I17" i="25"/>
  <c r="E21" i="25"/>
  <c r="D30" i="24"/>
  <c r="H30" i="24"/>
  <c r="N31" i="25"/>
  <c r="G38" i="25"/>
  <c r="G46" i="25" s="1"/>
  <c r="G54" i="25" s="1"/>
  <c r="I16" i="25"/>
  <c r="C69" i="23"/>
  <c r="N30" i="24"/>
  <c r="G61" i="25"/>
  <c r="I64" i="25"/>
  <c r="E71" i="23"/>
  <c r="F30" i="24"/>
  <c r="H70" i="23"/>
  <c r="L62" i="25"/>
  <c r="G21" i="25"/>
  <c r="BA11" i="16" s="1"/>
  <c r="BI11" i="16" s="1"/>
  <c r="G37" i="25"/>
  <c r="M61" i="25"/>
  <c r="I69" i="23"/>
  <c r="J69" i="23" s="1"/>
  <c r="T30" i="24"/>
  <c r="L61" i="25"/>
  <c r="H69" i="23"/>
  <c r="S30" i="24"/>
  <c r="E70" i="23"/>
  <c r="I62" i="25"/>
  <c r="I27" i="23"/>
  <c r="I72" i="23"/>
  <c r="M63" i="25"/>
  <c r="L30" i="24"/>
  <c r="K30" i="24"/>
  <c r="M21" i="25"/>
  <c r="BG11" i="16" s="1"/>
  <c r="BO11" i="16" s="1"/>
  <c r="C30" i="24"/>
  <c r="R30" i="24"/>
  <c r="K61" i="25"/>
  <c r="G69" i="23"/>
  <c r="L21" i="25"/>
  <c r="BF11" i="16" s="1"/>
  <c r="J21" i="25"/>
  <c r="BD11" i="16" s="1"/>
  <c r="D69" i="23"/>
  <c r="O30" i="24"/>
  <c r="H61" i="25"/>
  <c r="I30" i="24"/>
  <c r="J64" i="25"/>
  <c r="F71" i="23"/>
  <c r="M30" i="24"/>
  <c r="M64" i="25"/>
  <c r="I71" i="23"/>
  <c r="J30" i="24"/>
  <c r="Q30" i="24"/>
  <c r="J61" i="25"/>
  <c r="F69" i="23"/>
  <c r="L64" i="25"/>
  <c r="H71" i="23"/>
  <c r="G30" i="24"/>
  <c r="K21" i="25"/>
  <c r="BE11" i="16" s="1"/>
  <c r="K37" i="25"/>
  <c r="G62" i="25"/>
  <c r="C70" i="23"/>
  <c r="I70" i="23"/>
  <c r="M62" i="25"/>
  <c r="H64" i="25"/>
  <c r="D71" i="23"/>
  <c r="E30" i="24"/>
  <c r="E72" i="23"/>
  <c r="I63" i="25"/>
  <c r="H63" i="25"/>
  <c r="D72" i="23"/>
  <c r="K64" i="25"/>
  <c r="G71" i="23"/>
  <c r="D70" i="23"/>
  <c r="H62" i="25"/>
  <c r="G72" i="23"/>
  <c r="K63" i="25"/>
  <c r="G64" i="25"/>
  <c r="C71" i="23"/>
  <c r="C21" i="25"/>
  <c r="H72" i="23"/>
  <c r="L63" i="25"/>
  <c r="E69" i="23"/>
  <c r="P30" i="24"/>
  <c r="I61" i="25"/>
  <c r="J63" i="25"/>
  <c r="F72" i="23"/>
  <c r="G70" i="23"/>
  <c r="K62" i="25"/>
  <c r="J62" i="25"/>
  <c r="F70" i="23"/>
  <c r="G63" i="25"/>
  <c r="C72" i="23"/>
  <c r="H21" i="25"/>
  <c r="BB11" i="16" s="1"/>
  <c r="J37" i="23"/>
  <c r="I26" i="23"/>
  <c r="J36" i="23"/>
  <c r="K36" i="23" s="1"/>
  <c r="AJ36" i="30" l="1"/>
  <c r="C26" i="21" s="1"/>
  <c r="AJ37" i="30"/>
  <c r="AK37" i="30" s="1"/>
  <c r="AL30" i="30"/>
  <c r="AL31" i="30" s="1"/>
  <c r="M41" i="25"/>
  <c r="M47" i="25"/>
  <c r="M55" i="25" s="1"/>
  <c r="M71" i="25"/>
  <c r="I96" i="23" s="1"/>
  <c r="I105" i="23" s="1"/>
  <c r="M69" i="25"/>
  <c r="I93" i="23" s="1"/>
  <c r="H70" i="25"/>
  <c r="D94" i="23" s="1"/>
  <c r="D103" i="23" s="1"/>
  <c r="L41" i="25"/>
  <c r="J41" i="25"/>
  <c r="L71" i="25"/>
  <c r="H96" i="23" s="1"/>
  <c r="L69" i="25"/>
  <c r="H93" i="23" s="1"/>
  <c r="J69" i="25"/>
  <c r="H72" i="25"/>
  <c r="D95" i="23" s="1"/>
  <c r="D104" i="23" s="1"/>
  <c r="M72" i="25"/>
  <c r="I95" i="23" s="1"/>
  <c r="J70" i="25"/>
  <c r="F94" i="23" s="1"/>
  <c r="F103" i="23" s="1"/>
  <c r="H71" i="25"/>
  <c r="D96" i="23" s="1"/>
  <c r="J72" i="25"/>
  <c r="F95" i="23" s="1"/>
  <c r="F104" i="23" s="1"/>
  <c r="L70" i="25"/>
  <c r="H94" i="23" s="1"/>
  <c r="F80" i="23"/>
  <c r="L72" i="25"/>
  <c r="H95" i="23" s="1"/>
  <c r="H41" i="25"/>
  <c r="J45" i="25"/>
  <c r="J53" i="25" s="1"/>
  <c r="J57" i="25" s="1"/>
  <c r="I38" i="25"/>
  <c r="I46" i="25" s="1"/>
  <c r="I54" i="25" s="1"/>
  <c r="BC7" i="16"/>
  <c r="J71" i="25"/>
  <c r="F96" i="23" s="1"/>
  <c r="F105" i="23" s="1"/>
  <c r="M70" i="25"/>
  <c r="I94" i="23" s="1"/>
  <c r="H45" i="25"/>
  <c r="H53" i="25" s="1"/>
  <c r="H57" i="25" s="1"/>
  <c r="I40" i="25"/>
  <c r="I48" i="25" s="1"/>
  <c r="I56" i="25" s="1"/>
  <c r="BC9" i="16"/>
  <c r="I37" i="25"/>
  <c r="I45" i="25" s="1"/>
  <c r="I53" i="25" s="1"/>
  <c r="BC6" i="16"/>
  <c r="I39" i="25"/>
  <c r="I47" i="25" s="1"/>
  <c r="I55" i="25" s="1"/>
  <c r="BC8" i="16"/>
  <c r="M51" i="23"/>
  <c r="L25" i="23"/>
  <c r="G72" i="25"/>
  <c r="C95" i="23" s="1"/>
  <c r="AJ38" i="30"/>
  <c r="AK38" i="30" s="1"/>
  <c r="F82" i="23"/>
  <c r="K71" i="25"/>
  <c r="G96" i="23" s="1"/>
  <c r="G105" i="23" s="1"/>
  <c r="K70" i="25"/>
  <c r="G94" i="23" s="1"/>
  <c r="G103" i="23" s="1"/>
  <c r="K72" i="25"/>
  <c r="G95" i="23" s="1"/>
  <c r="G104" i="23" s="1"/>
  <c r="L38" i="23"/>
  <c r="M38" i="23" s="1"/>
  <c r="I54" i="23"/>
  <c r="G70" i="25"/>
  <c r="C94" i="23" s="1"/>
  <c r="F81" i="23"/>
  <c r="G71" i="25"/>
  <c r="C96" i="23" s="1"/>
  <c r="H82" i="23"/>
  <c r="E82" i="23"/>
  <c r="I21" i="25"/>
  <c r="BC11" i="16" s="1"/>
  <c r="G90" i="30"/>
  <c r="L90" i="30" s="1"/>
  <c r="L80" i="30"/>
  <c r="G81" i="23"/>
  <c r="D82" i="23"/>
  <c r="M65" i="25"/>
  <c r="H65" i="25"/>
  <c r="D80" i="23"/>
  <c r="G73" i="23"/>
  <c r="W36" i="29" s="1"/>
  <c r="G79" i="23"/>
  <c r="G88" i="23" s="1"/>
  <c r="E80" i="23"/>
  <c r="L36" i="23"/>
  <c r="M36" i="23" s="1"/>
  <c r="I65" i="25"/>
  <c r="D81" i="23"/>
  <c r="F79" i="23"/>
  <c r="F88" i="23" s="1"/>
  <c r="F73" i="23"/>
  <c r="V36" i="29" s="1"/>
  <c r="D73" i="23"/>
  <c r="T36" i="29" s="1"/>
  <c r="D79" i="23"/>
  <c r="D88" i="23" s="1"/>
  <c r="K65" i="25"/>
  <c r="G69" i="25"/>
  <c r="C93" i="23" s="1"/>
  <c r="G41" i="25"/>
  <c r="G45" i="25"/>
  <c r="L49" i="25"/>
  <c r="L53" i="25"/>
  <c r="L57" i="25" s="1"/>
  <c r="J65" i="25"/>
  <c r="H69" i="25"/>
  <c r="D93" i="23" s="1"/>
  <c r="I79" i="23"/>
  <c r="I88" i="23" s="1"/>
  <c r="I73" i="23"/>
  <c r="E73" i="23"/>
  <c r="U36" i="29" s="1"/>
  <c r="E79" i="23"/>
  <c r="E88" i="23" s="1"/>
  <c r="I82" i="23"/>
  <c r="G65" i="25"/>
  <c r="G80" i="23"/>
  <c r="J70" i="23"/>
  <c r="I80" i="23"/>
  <c r="I53" i="23"/>
  <c r="H79" i="23"/>
  <c r="H88" i="23" s="1"/>
  <c r="H73" i="23"/>
  <c r="H80" i="23"/>
  <c r="I52" i="23"/>
  <c r="J52" i="23" s="1"/>
  <c r="G82" i="23"/>
  <c r="H81" i="23"/>
  <c r="L65" i="25"/>
  <c r="C73" i="23"/>
  <c r="K41" i="25"/>
  <c r="K45" i="25"/>
  <c r="K69" i="25"/>
  <c r="M45" i="25"/>
  <c r="E81" i="23"/>
  <c r="K37" i="23"/>
  <c r="I74" i="23" l="1"/>
  <c r="Y36" i="29"/>
  <c r="Y37" i="29" s="1"/>
  <c r="P93" i="23"/>
  <c r="K93" i="23" s="1"/>
  <c r="L93" i="23" s="1"/>
  <c r="K70" i="40"/>
  <c r="K73" i="40" s="1"/>
  <c r="AL33" i="30"/>
  <c r="D26" i="21"/>
  <c r="P94" i="23"/>
  <c r="J94" i="23" s="1"/>
  <c r="K94" i="23" s="1"/>
  <c r="L94" i="23" s="1"/>
  <c r="M94" i="23" s="1"/>
  <c r="N94" i="23" s="1"/>
  <c r="H105" i="23"/>
  <c r="P96" i="23"/>
  <c r="J96" i="23" s="1"/>
  <c r="K96" i="23" s="1"/>
  <c r="L96" i="23" s="1"/>
  <c r="M96" i="23" s="1"/>
  <c r="N96" i="23" s="1"/>
  <c r="P95" i="23"/>
  <c r="G93" i="23"/>
  <c r="G102" i="23" s="1"/>
  <c r="G106" i="23" s="1"/>
  <c r="F93" i="23"/>
  <c r="F102" i="23" s="1"/>
  <c r="F106" i="23" s="1"/>
  <c r="I104" i="23"/>
  <c r="D105" i="23"/>
  <c r="J49" i="25"/>
  <c r="H104" i="23"/>
  <c r="H102" i="23"/>
  <c r="H103" i="23"/>
  <c r="K52" i="23"/>
  <c r="J26" i="23"/>
  <c r="I72" i="25"/>
  <c r="E95" i="23" s="1"/>
  <c r="E104" i="23" s="1"/>
  <c r="I69" i="25"/>
  <c r="I70" i="25"/>
  <c r="E94" i="23" s="1"/>
  <c r="E103" i="23" s="1"/>
  <c r="I57" i="25"/>
  <c r="I103" i="23"/>
  <c r="H49" i="25"/>
  <c r="D102" i="23"/>
  <c r="I41" i="25"/>
  <c r="I49" i="25"/>
  <c r="I71" i="25"/>
  <c r="E96" i="23" s="1"/>
  <c r="E105" i="23" s="1"/>
  <c r="N51" i="23"/>
  <c r="N25" i="23" s="1"/>
  <c r="M25" i="23"/>
  <c r="J81" i="23"/>
  <c r="J53" i="23" s="1"/>
  <c r="J27" i="23" s="1"/>
  <c r="J82" i="23"/>
  <c r="J54" i="23" s="1"/>
  <c r="J28" i="23" s="1"/>
  <c r="N38" i="23"/>
  <c r="W37" i="29"/>
  <c r="W40" i="29"/>
  <c r="W38" i="29"/>
  <c r="W39" i="29"/>
  <c r="H83" i="23"/>
  <c r="X36" i="29"/>
  <c r="T37" i="29"/>
  <c r="T39" i="29"/>
  <c r="T40" i="29"/>
  <c r="T38" i="29"/>
  <c r="U37" i="29"/>
  <c r="U38" i="29"/>
  <c r="U40" i="29"/>
  <c r="U39" i="29"/>
  <c r="V37" i="29"/>
  <c r="V38" i="29"/>
  <c r="V40" i="29"/>
  <c r="V39" i="29"/>
  <c r="Y40" i="29"/>
  <c r="I83" i="23"/>
  <c r="D115" i="23"/>
  <c r="N36" i="23"/>
  <c r="G83" i="23"/>
  <c r="K69" i="23"/>
  <c r="J60" i="23"/>
  <c r="I102" i="23"/>
  <c r="J61" i="23"/>
  <c r="L37" i="23"/>
  <c r="M37" i="23" s="1"/>
  <c r="D83" i="23"/>
  <c r="K70" i="23"/>
  <c r="K49" i="25"/>
  <c r="K53" i="25"/>
  <c r="K57" i="25" s="1"/>
  <c r="E83" i="23"/>
  <c r="G49" i="25"/>
  <c r="G53" i="25"/>
  <c r="G57" i="25" s="1"/>
  <c r="F83" i="23"/>
  <c r="M49" i="25"/>
  <c r="M53" i="25"/>
  <c r="M57" i="25" s="1"/>
  <c r="Y38" i="29" l="1"/>
  <c r="J95" i="23"/>
  <c r="K95" i="23" s="1"/>
  <c r="L95" i="23" s="1"/>
  <c r="M95" i="23" s="1"/>
  <c r="N95" i="23" s="1"/>
  <c r="Y39" i="29"/>
  <c r="E26" i="21"/>
  <c r="AL34" i="30"/>
  <c r="K65" i="40" s="1"/>
  <c r="J103" i="23"/>
  <c r="D19" i="21" s="1"/>
  <c r="E8" i="20" s="1"/>
  <c r="E93" i="23"/>
  <c r="E102" i="23" s="1"/>
  <c r="E106" i="23" s="1"/>
  <c r="F107" i="23" s="1"/>
  <c r="F114" i="23" s="1"/>
  <c r="D106" i="23"/>
  <c r="D113" i="23" s="1"/>
  <c r="H106" i="23"/>
  <c r="H107" i="23" s="1"/>
  <c r="H115" i="23" s="1"/>
  <c r="L52" i="23"/>
  <c r="K26" i="23"/>
  <c r="I106" i="23"/>
  <c r="D112" i="23"/>
  <c r="X37" i="29"/>
  <c r="X40" i="29"/>
  <c r="X39" i="29"/>
  <c r="X38" i="29"/>
  <c r="G107" i="23"/>
  <c r="G114" i="23" s="1"/>
  <c r="D114" i="23"/>
  <c r="N37" i="23"/>
  <c r="L70" i="23"/>
  <c r="L69" i="23"/>
  <c r="K60" i="23"/>
  <c r="J72" i="23"/>
  <c r="K82" i="23"/>
  <c r="K54" i="23" s="1"/>
  <c r="K28" i="23" s="1"/>
  <c r="K61" i="23"/>
  <c r="K103" i="23"/>
  <c r="E19" i="21" s="1"/>
  <c r="F8" i="20" s="1"/>
  <c r="J102" i="23"/>
  <c r="D18" i="21" s="1"/>
  <c r="E7" i="20" s="1"/>
  <c r="J71" i="23"/>
  <c r="K81" i="23"/>
  <c r="K53" i="23" s="1"/>
  <c r="K27" i="23" s="1"/>
  <c r="I121" i="23" l="1"/>
  <c r="F26" i="21"/>
  <c r="AL36" i="30"/>
  <c r="I107" i="23"/>
  <c r="E107" i="23"/>
  <c r="E115" i="23" s="1"/>
  <c r="M52" i="23"/>
  <c r="L26" i="23"/>
  <c r="H114" i="23"/>
  <c r="I114" i="23" s="1"/>
  <c r="J114" i="23" s="1"/>
  <c r="K114" i="23" s="1"/>
  <c r="L114" i="23" s="1"/>
  <c r="H113" i="23"/>
  <c r="H112" i="23"/>
  <c r="F112" i="23"/>
  <c r="F115" i="23"/>
  <c r="F113" i="23"/>
  <c r="G112" i="23"/>
  <c r="G115" i="23"/>
  <c r="G113" i="23"/>
  <c r="K102" i="23"/>
  <c r="E18" i="21" s="1"/>
  <c r="F7" i="20" s="1"/>
  <c r="M70" i="23"/>
  <c r="K72" i="23"/>
  <c r="J63" i="23"/>
  <c r="J105" i="23"/>
  <c r="D21" i="21" s="1"/>
  <c r="E10" i="20" s="1"/>
  <c r="L61" i="23"/>
  <c r="L103" i="23"/>
  <c r="F19" i="21" s="1"/>
  <c r="G8" i="20" s="1"/>
  <c r="K71" i="23"/>
  <c r="J62" i="23"/>
  <c r="J73" i="23"/>
  <c r="J83" i="23" s="1"/>
  <c r="J104" i="23"/>
  <c r="L82" i="23"/>
  <c r="M82" i="23" s="1"/>
  <c r="N82" i="23" s="1"/>
  <c r="M69" i="23"/>
  <c r="L60" i="23"/>
  <c r="L81" i="23"/>
  <c r="M81" i="23" s="1"/>
  <c r="G26" i="21" l="1"/>
  <c r="H26" i="21" s="1"/>
  <c r="K41" i="40"/>
  <c r="K40" i="40" s="1"/>
  <c r="AM30" i="30"/>
  <c r="AM31" i="30" s="1"/>
  <c r="E113" i="23"/>
  <c r="E114" i="23"/>
  <c r="E112" i="23"/>
  <c r="N52" i="23"/>
  <c r="N26" i="23" s="1"/>
  <c r="M26" i="23"/>
  <c r="L54" i="23"/>
  <c r="L53" i="23"/>
  <c r="I115" i="23"/>
  <c r="J115" i="23" s="1"/>
  <c r="I113" i="23"/>
  <c r="J113" i="23" s="1"/>
  <c r="K113" i="23" s="1"/>
  <c r="L113" i="23" s="1"/>
  <c r="M113" i="23" s="1"/>
  <c r="N113" i="23" s="1"/>
  <c r="I112" i="23"/>
  <c r="J112" i="23" s="1"/>
  <c r="J106" i="23"/>
  <c r="J107" i="23" s="1"/>
  <c r="D20" i="21"/>
  <c r="E9" i="20" s="1"/>
  <c r="E11" i="20" s="1"/>
  <c r="N81" i="23"/>
  <c r="M114" i="23"/>
  <c r="N114" i="23" s="1"/>
  <c r="M61" i="23"/>
  <c r="M103" i="23"/>
  <c r="G19" i="21" s="1"/>
  <c r="H8" i="20" s="1"/>
  <c r="N70" i="23"/>
  <c r="M60" i="23"/>
  <c r="N69" i="23"/>
  <c r="L102" i="23"/>
  <c r="L71" i="23"/>
  <c r="K62" i="23"/>
  <c r="K73" i="23"/>
  <c r="K83" i="23" s="1"/>
  <c r="K104" i="23"/>
  <c r="L72" i="23"/>
  <c r="K63" i="23"/>
  <c r="K105" i="23"/>
  <c r="E21" i="21" s="1"/>
  <c r="F10" i="20" s="1"/>
  <c r="AM33" i="30" l="1"/>
  <c r="L70" i="40"/>
  <c r="L73" i="40" s="1"/>
  <c r="F18" i="21"/>
  <c r="G7" i="20" s="1"/>
  <c r="M53" i="23"/>
  <c r="M27" i="23" s="1"/>
  <c r="L27" i="23"/>
  <c r="M54" i="23"/>
  <c r="L28" i="23"/>
  <c r="K115" i="23"/>
  <c r="L115" i="23" s="1"/>
  <c r="M115" i="23" s="1"/>
  <c r="N115" i="23" s="1"/>
  <c r="K112" i="23"/>
  <c r="L112" i="23" s="1"/>
  <c r="K106" i="23"/>
  <c r="K107" i="23" s="1"/>
  <c r="E20" i="21"/>
  <c r="F9" i="20" s="1"/>
  <c r="N103" i="23"/>
  <c r="H19" i="21" s="1"/>
  <c r="I8" i="20" s="1"/>
  <c r="M71" i="23"/>
  <c r="L62" i="23"/>
  <c r="L104" i="23"/>
  <c r="F20" i="21" s="1"/>
  <c r="G9" i="20" s="1"/>
  <c r="L73" i="23"/>
  <c r="L83" i="23" s="1"/>
  <c r="M102" i="23"/>
  <c r="N102" i="23"/>
  <c r="N60" i="23"/>
  <c r="N61" i="23"/>
  <c r="M72" i="23"/>
  <c r="L63" i="23"/>
  <c r="L105" i="23"/>
  <c r="F21" i="21" s="1"/>
  <c r="G10" i="20" s="1"/>
  <c r="G11" i="20" l="1"/>
  <c r="AM34" i="30"/>
  <c r="L65" i="40" s="1"/>
  <c r="H18" i="21"/>
  <c r="I7" i="20" s="1"/>
  <c r="G18" i="21"/>
  <c r="H7" i="20" s="1"/>
  <c r="N53" i="23"/>
  <c r="N27" i="23" s="1"/>
  <c r="N54" i="23"/>
  <c r="N28" i="23" s="1"/>
  <c r="M28" i="23"/>
  <c r="M112" i="23"/>
  <c r="N112" i="23" s="1"/>
  <c r="L106" i="23"/>
  <c r="L107" i="23" s="1"/>
  <c r="M63" i="23"/>
  <c r="N72" i="23"/>
  <c r="M105" i="23"/>
  <c r="G21" i="21" s="1"/>
  <c r="H10" i="20" s="1"/>
  <c r="M62" i="23"/>
  <c r="N71" i="23"/>
  <c r="M73" i="23"/>
  <c r="M83" i="23" s="1"/>
  <c r="M104" i="23"/>
  <c r="G20" i="21" s="1"/>
  <c r="H9" i="20" s="1"/>
  <c r="AM36" i="30" l="1"/>
  <c r="AN30" i="30" s="1"/>
  <c r="AN31" i="30" s="1"/>
  <c r="M106" i="23"/>
  <c r="M107" i="23" s="1"/>
  <c r="N62" i="23"/>
  <c r="N73" i="23"/>
  <c r="N74" i="23" s="1"/>
  <c r="N75" i="23" s="1"/>
  <c r="N104" i="23"/>
  <c r="N63" i="23"/>
  <c r="N105" i="23"/>
  <c r="H21" i="21" s="1"/>
  <c r="I10" i="20" s="1"/>
  <c r="L41" i="40" l="1"/>
  <c r="L40" i="40" s="1"/>
  <c r="AN33" i="30"/>
  <c r="M70" i="40"/>
  <c r="M73" i="40" s="1"/>
  <c r="N83" i="23"/>
  <c r="N106" i="23"/>
  <c r="H20" i="21"/>
  <c r="I9" i="20" s="1"/>
  <c r="I11" i="20" l="1"/>
  <c r="O9" i="40" s="1"/>
  <c r="N108" i="23"/>
  <c r="N121" i="23"/>
  <c r="N122" i="23" s="1"/>
  <c r="AN34" i="30"/>
  <c r="M65" i="40" s="1"/>
  <c r="N107" i="23"/>
  <c r="E20" i="20"/>
  <c r="AN36" i="30" l="1"/>
  <c r="AO30" i="30" s="1"/>
  <c r="AO31" i="30" s="1"/>
  <c r="F20" i="20"/>
  <c r="M9" i="40"/>
  <c r="F11" i="20"/>
  <c r="L9" i="40" s="1"/>
  <c r="H11" i="20"/>
  <c r="N9" i="40" s="1"/>
  <c r="K9" i="40"/>
  <c r="M41" i="40" l="1"/>
  <c r="M40" i="40" s="1"/>
  <c r="AO33" i="30"/>
  <c r="N70" i="40"/>
  <c r="N73" i="40" s="1"/>
  <c r="G14" i="20"/>
  <c r="G15" i="20"/>
  <c r="G12" i="20"/>
  <c r="M10" i="40" s="1"/>
  <c r="E14" i="20"/>
  <c r="E15" i="20"/>
  <c r="E12" i="20"/>
  <c r="K10" i="40" s="1"/>
  <c r="I14" i="20"/>
  <c r="I15" i="20"/>
  <c r="I12" i="20"/>
  <c r="I13" i="20" s="1"/>
  <c r="H15" i="20"/>
  <c r="H14" i="20"/>
  <c r="H12" i="20"/>
  <c r="N10" i="40" s="1"/>
  <c r="F15" i="20"/>
  <c r="F14" i="20"/>
  <c r="F12" i="20"/>
  <c r="L10" i="40" s="1"/>
  <c r="G20" i="20"/>
  <c r="N11" i="19"/>
  <c r="N13" i="19" s="1"/>
  <c r="O11" i="19"/>
  <c r="P11" i="19"/>
  <c r="Q11" i="19"/>
  <c r="R11" i="19"/>
  <c r="H63" i="19"/>
  <c r="I63" i="19"/>
  <c r="J63" i="19"/>
  <c r="K63" i="19"/>
  <c r="L63" i="19"/>
  <c r="G63" i="19"/>
  <c r="I16" i="20" l="1"/>
  <c r="O10" i="40"/>
  <c r="O12" i="40" s="1"/>
  <c r="O95" i="40" s="1"/>
  <c r="AO34" i="30"/>
  <c r="N65" i="40" s="1"/>
  <c r="N13" i="40"/>
  <c r="O13" i="40"/>
  <c r="L13" i="40"/>
  <c r="K13" i="40"/>
  <c r="M13" i="40"/>
  <c r="N12" i="40"/>
  <c r="M12" i="40"/>
  <c r="L12" i="40"/>
  <c r="K12" i="40"/>
  <c r="O12" i="19"/>
  <c r="N12" i="19"/>
  <c r="Q12" i="19"/>
  <c r="P12" i="19"/>
  <c r="R12" i="19"/>
  <c r="F13" i="20"/>
  <c r="F16" i="20" s="1"/>
  <c r="L27" i="40" s="1"/>
  <c r="L101" i="40" s="1"/>
  <c r="E13" i="20"/>
  <c r="E16" i="20" s="1"/>
  <c r="K27" i="40" s="1"/>
  <c r="K101" i="40" s="1"/>
  <c r="G13" i="20"/>
  <c r="G16" i="20" s="1"/>
  <c r="M27" i="40" s="1"/>
  <c r="M101" i="40" s="1"/>
  <c r="H13" i="20"/>
  <c r="H16" i="20" s="1"/>
  <c r="H20" i="20"/>
  <c r="O96" i="40" l="1"/>
  <c r="AO36" i="30"/>
  <c r="AP30" i="30" s="1"/>
  <c r="AP31" i="30" s="1"/>
  <c r="N41" i="40"/>
  <c r="N40" i="40" s="1"/>
  <c r="N27" i="40"/>
  <c r="N101" i="40" s="1"/>
  <c r="L100" i="40"/>
  <c r="L99" i="40"/>
  <c r="K95" i="40"/>
  <c r="K96" i="40"/>
  <c r="M95" i="40"/>
  <c r="M96" i="40"/>
  <c r="N95" i="40"/>
  <c r="N96" i="40"/>
  <c r="K99" i="40"/>
  <c r="K100" i="40"/>
  <c r="L95" i="40"/>
  <c r="L96" i="40"/>
  <c r="M100" i="40"/>
  <c r="M99" i="40"/>
  <c r="I17" i="20"/>
  <c r="I18" i="20" s="1"/>
  <c r="I20" i="20"/>
  <c r="C6" i="39" s="1"/>
  <c r="O27" i="40" l="1"/>
  <c r="O101" i="40" s="1"/>
  <c r="AP33" i="30"/>
  <c r="O70" i="40"/>
  <c r="O73" i="40" s="1"/>
  <c r="N99" i="40"/>
  <c r="N100" i="40"/>
  <c r="B20" i="12"/>
  <c r="B19" i="12"/>
  <c r="M30" i="12"/>
  <c r="O99" i="40" l="1"/>
  <c r="O100" i="40"/>
  <c r="F12" i="12"/>
  <c r="F13" i="12" s="1"/>
  <c r="D19" i="12"/>
  <c r="AP34" i="30"/>
  <c r="O65" i="40" s="1"/>
  <c r="J9" i="12"/>
  <c r="K8" i="12"/>
  <c r="J8" i="12" s="1"/>
  <c r="K7" i="12"/>
  <c r="J7" i="12" s="1"/>
  <c r="AP36" i="30" l="1"/>
  <c r="O41" i="40" s="1"/>
  <c r="O40" i="40" s="1"/>
  <c r="D31" i="20"/>
  <c r="K41" i="37"/>
  <c r="C91" i="17"/>
  <c r="C90" i="17"/>
  <c r="M14" i="19" l="1"/>
  <c r="L14" i="19"/>
  <c r="K14" i="19"/>
  <c r="J14" i="19"/>
  <c r="I14" i="19"/>
  <c r="H14" i="19"/>
  <c r="H38" i="19" s="1"/>
  <c r="G14" i="19"/>
  <c r="L38" i="19" l="1"/>
  <c r="M38" i="19"/>
  <c r="I38" i="19"/>
  <c r="I41" i="19" s="1"/>
  <c r="J38" i="19"/>
  <c r="K38" i="19"/>
  <c r="L41" i="19" s="1"/>
  <c r="J41" i="19" l="1"/>
  <c r="M41" i="19"/>
  <c r="K41" i="19"/>
  <c r="K57" i="2" l="1"/>
  <c r="K46" i="2"/>
  <c r="J51" i="40" s="1"/>
  <c r="J49" i="40" s="1"/>
  <c r="J59" i="40" s="1"/>
  <c r="K38" i="2"/>
  <c r="C88" i="17" s="1"/>
  <c r="K26" i="2"/>
  <c r="J42" i="40" s="1"/>
  <c r="J40" i="40" s="1"/>
  <c r="K14" i="2"/>
  <c r="C86" i="17" s="1"/>
  <c r="C6" i="17"/>
  <c r="D6" i="17"/>
  <c r="E6" i="17"/>
  <c r="F6" i="17"/>
  <c r="G6" i="17"/>
  <c r="H6" i="17"/>
  <c r="I6" i="17"/>
  <c r="C7" i="17"/>
  <c r="D7" i="17"/>
  <c r="E7" i="17"/>
  <c r="F7" i="17"/>
  <c r="G7" i="17"/>
  <c r="H7" i="17"/>
  <c r="I7" i="17"/>
  <c r="C8" i="17"/>
  <c r="D8" i="17"/>
  <c r="E8" i="17"/>
  <c r="F8" i="17"/>
  <c r="G8" i="17"/>
  <c r="H8" i="17"/>
  <c r="I8" i="17"/>
  <c r="C9" i="17"/>
  <c r="D9" i="17"/>
  <c r="E9" i="17"/>
  <c r="F9" i="17"/>
  <c r="G9" i="17"/>
  <c r="H9" i="17"/>
  <c r="I9" i="17"/>
  <c r="C12" i="17"/>
  <c r="D12" i="17"/>
  <c r="E12" i="17"/>
  <c r="F12" i="17"/>
  <c r="G12" i="17"/>
  <c r="H12" i="17"/>
  <c r="I12" i="17"/>
  <c r="C13" i="17"/>
  <c r="D13" i="17"/>
  <c r="E13" i="17"/>
  <c r="F13" i="17"/>
  <c r="G13" i="17"/>
  <c r="H13" i="17"/>
  <c r="I13" i="17"/>
  <c r="C14" i="17"/>
  <c r="D14" i="17"/>
  <c r="E14" i="17"/>
  <c r="F14" i="17"/>
  <c r="G14" i="17"/>
  <c r="H14" i="17"/>
  <c r="I14" i="17"/>
  <c r="C15" i="17"/>
  <c r="D15" i="17"/>
  <c r="E15" i="17"/>
  <c r="F15" i="17"/>
  <c r="G15" i="17"/>
  <c r="H15" i="17"/>
  <c r="I15" i="17"/>
  <c r="C16" i="17"/>
  <c r="D16" i="17"/>
  <c r="E16" i="17"/>
  <c r="F16" i="17"/>
  <c r="G16" i="17"/>
  <c r="H16" i="17"/>
  <c r="I16" i="17"/>
  <c r="C17" i="17"/>
  <c r="D17" i="17"/>
  <c r="E17" i="17"/>
  <c r="F17" i="17"/>
  <c r="G17" i="17"/>
  <c r="H17" i="17"/>
  <c r="I17" i="17"/>
  <c r="C18" i="17"/>
  <c r="D18" i="17"/>
  <c r="E18" i="17"/>
  <c r="F18" i="17"/>
  <c r="G18" i="17"/>
  <c r="H18" i="17"/>
  <c r="I18" i="17"/>
  <c r="C19" i="17"/>
  <c r="D19" i="17"/>
  <c r="E19" i="17"/>
  <c r="F19" i="17"/>
  <c r="G19" i="17"/>
  <c r="H19" i="17"/>
  <c r="I19" i="17"/>
  <c r="C20" i="17"/>
  <c r="D20" i="17"/>
  <c r="E20" i="17"/>
  <c r="F20" i="17"/>
  <c r="G20" i="17"/>
  <c r="H20" i="17"/>
  <c r="I20" i="17"/>
  <c r="E23" i="17"/>
  <c r="F23" i="17"/>
  <c r="C24" i="17"/>
  <c r="D24" i="17"/>
  <c r="E24" i="17"/>
  <c r="F24" i="17"/>
  <c r="G24" i="17"/>
  <c r="H24" i="17"/>
  <c r="I24" i="17"/>
  <c r="C25" i="17"/>
  <c r="D25" i="17"/>
  <c r="E25" i="17"/>
  <c r="F25" i="17"/>
  <c r="G25" i="17"/>
  <c r="H25" i="17"/>
  <c r="I25" i="17"/>
  <c r="C26" i="17"/>
  <c r="D26" i="17"/>
  <c r="E26" i="17"/>
  <c r="F26" i="17"/>
  <c r="G26" i="17"/>
  <c r="H26" i="17"/>
  <c r="I26" i="17"/>
  <c r="C27" i="17"/>
  <c r="D27" i="17"/>
  <c r="E27" i="17"/>
  <c r="F27" i="17"/>
  <c r="G27" i="17"/>
  <c r="H27" i="17"/>
  <c r="I27" i="17"/>
  <c r="C28" i="17"/>
  <c r="D28" i="17"/>
  <c r="E28" i="17"/>
  <c r="F28" i="17"/>
  <c r="G28" i="17"/>
  <c r="H28" i="17"/>
  <c r="I28" i="17"/>
  <c r="C29" i="17"/>
  <c r="D29" i="17"/>
  <c r="E29" i="17"/>
  <c r="F29" i="17"/>
  <c r="G29" i="17"/>
  <c r="H29" i="17"/>
  <c r="I29" i="17"/>
  <c r="C30" i="17"/>
  <c r="D30" i="17"/>
  <c r="E30" i="17"/>
  <c r="F30" i="17"/>
  <c r="G30" i="17"/>
  <c r="H30" i="17"/>
  <c r="I30" i="17"/>
  <c r="C31" i="17"/>
  <c r="D31" i="17"/>
  <c r="E31" i="17"/>
  <c r="F31" i="17"/>
  <c r="G31" i="17"/>
  <c r="H31" i="17"/>
  <c r="I31" i="17"/>
  <c r="C33" i="17"/>
  <c r="D33" i="17"/>
  <c r="E33" i="17"/>
  <c r="F33" i="17"/>
  <c r="G33" i="17"/>
  <c r="H33" i="17"/>
  <c r="I33" i="17"/>
  <c r="C34" i="17"/>
  <c r="D34" i="17"/>
  <c r="E34" i="17"/>
  <c r="F34" i="17"/>
  <c r="G34" i="17"/>
  <c r="H34" i="17"/>
  <c r="I34" i="17"/>
  <c r="C35" i="17"/>
  <c r="D35" i="17"/>
  <c r="E35" i="17"/>
  <c r="F35" i="17"/>
  <c r="G35" i="17"/>
  <c r="H35" i="17"/>
  <c r="I35" i="17"/>
  <c r="C36" i="17"/>
  <c r="D36" i="17"/>
  <c r="E36" i="17"/>
  <c r="F36" i="17"/>
  <c r="G36" i="17"/>
  <c r="H36" i="17"/>
  <c r="I36" i="17"/>
  <c r="C37" i="17"/>
  <c r="D37" i="17"/>
  <c r="E37" i="17"/>
  <c r="F37" i="17"/>
  <c r="G37" i="17"/>
  <c r="H37" i="17"/>
  <c r="I37" i="17"/>
  <c r="C38" i="17"/>
  <c r="D38" i="17"/>
  <c r="E38" i="17"/>
  <c r="F38" i="17"/>
  <c r="G38" i="17"/>
  <c r="H38" i="17"/>
  <c r="I38" i="17"/>
  <c r="C39" i="17"/>
  <c r="D39" i="17"/>
  <c r="E39" i="17"/>
  <c r="F39" i="17"/>
  <c r="G39" i="17"/>
  <c r="H39" i="17"/>
  <c r="I39" i="17"/>
  <c r="C40" i="17"/>
  <c r="D40" i="17"/>
  <c r="E40" i="17"/>
  <c r="F40" i="17"/>
  <c r="G40" i="17"/>
  <c r="H40" i="17"/>
  <c r="I40" i="17"/>
  <c r="C42" i="17"/>
  <c r="D42" i="17"/>
  <c r="E42" i="17"/>
  <c r="F42" i="17"/>
  <c r="G42" i="17"/>
  <c r="H42" i="17"/>
  <c r="I42" i="17"/>
  <c r="C43" i="17"/>
  <c r="D43" i="17"/>
  <c r="E43" i="17"/>
  <c r="F43" i="17"/>
  <c r="G43" i="17"/>
  <c r="H43" i="17"/>
  <c r="I43" i="17"/>
  <c r="C44" i="17"/>
  <c r="D44" i="17"/>
  <c r="E44" i="17"/>
  <c r="F44" i="17"/>
  <c r="G44" i="17"/>
  <c r="H44" i="17"/>
  <c r="I44" i="17"/>
  <c r="C45" i="17"/>
  <c r="D45" i="17"/>
  <c r="E45" i="17"/>
  <c r="F45" i="17"/>
  <c r="G45" i="17"/>
  <c r="H45" i="17"/>
  <c r="I45" i="17"/>
  <c r="C46" i="17"/>
  <c r="D46" i="17"/>
  <c r="E46" i="17"/>
  <c r="F46" i="17"/>
  <c r="G46" i="17"/>
  <c r="H46" i="17"/>
  <c r="I46" i="17"/>
  <c r="C47" i="17"/>
  <c r="D47" i="17"/>
  <c r="E47" i="17"/>
  <c r="F47" i="17"/>
  <c r="G47" i="17"/>
  <c r="H47" i="17"/>
  <c r="I47" i="17"/>
  <c r="C48" i="17"/>
  <c r="D48" i="17"/>
  <c r="E48" i="17"/>
  <c r="F48" i="17"/>
  <c r="G48" i="17"/>
  <c r="H48" i="17"/>
  <c r="I48" i="17"/>
  <c r="C49" i="17"/>
  <c r="D49" i="17"/>
  <c r="E49" i="17"/>
  <c r="F49" i="17"/>
  <c r="G49" i="17"/>
  <c r="H49" i="17"/>
  <c r="I49" i="17"/>
  <c r="C50" i="17"/>
  <c r="D50" i="17"/>
  <c r="E50" i="17"/>
  <c r="F50" i="17"/>
  <c r="G50" i="17"/>
  <c r="H50" i="17"/>
  <c r="I50" i="17"/>
  <c r="C52" i="17"/>
  <c r="D52" i="17"/>
  <c r="E52" i="17"/>
  <c r="F52" i="17"/>
  <c r="G52" i="17"/>
  <c r="H52" i="17"/>
  <c r="I52" i="17"/>
  <c r="C53" i="17"/>
  <c r="D53" i="17"/>
  <c r="E53" i="17"/>
  <c r="F53" i="17"/>
  <c r="G53" i="17"/>
  <c r="H53" i="17"/>
  <c r="I53" i="17"/>
  <c r="C54" i="17"/>
  <c r="D54" i="17"/>
  <c r="E54" i="17"/>
  <c r="F54" i="17"/>
  <c r="G54" i="17"/>
  <c r="H54" i="17"/>
  <c r="I54" i="17"/>
  <c r="C55" i="17"/>
  <c r="D55" i="17"/>
  <c r="E55" i="17"/>
  <c r="F55" i="17"/>
  <c r="G55" i="17"/>
  <c r="H55" i="17"/>
  <c r="I55" i="17"/>
  <c r="C56" i="17"/>
  <c r="D56" i="17"/>
  <c r="E56" i="17"/>
  <c r="F56" i="17"/>
  <c r="G56" i="17"/>
  <c r="H56" i="17"/>
  <c r="I56" i="17"/>
  <c r="C57" i="17"/>
  <c r="D57" i="17"/>
  <c r="E57" i="17"/>
  <c r="F57" i="17"/>
  <c r="G57" i="17"/>
  <c r="H57" i="17"/>
  <c r="I57" i="17"/>
  <c r="C58" i="17"/>
  <c r="D58" i="17"/>
  <c r="E58" i="17"/>
  <c r="F58" i="17"/>
  <c r="G58" i="17"/>
  <c r="H58" i="17"/>
  <c r="I58" i="17"/>
  <c r="C62" i="17"/>
  <c r="D62" i="17"/>
  <c r="E62" i="17"/>
  <c r="F62" i="17"/>
  <c r="G62" i="17"/>
  <c r="H62" i="17"/>
  <c r="I62" i="17"/>
  <c r="C63" i="17"/>
  <c r="D63" i="17"/>
  <c r="E63" i="17"/>
  <c r="F63" i="17"/>
  <c r="G63" i="17"/>
  <c r="H63" i="17"/>
  <c r="I63" i="17"/>
  <c r="C64" i="17"/>
  <c r="D64" i="17"/>
  <c r="E64" i="17"/>
  <c r="F64" i="17"/>
  <c r="G64" i="17"/>
  <c r="H64" i="17"/>
  <c r="I64" i="17"/>
  <c r="C65" i="17"/>
  <c r="D65" i="17"/>
  <c r="E65" i="17"/>
  <c r="F65" i="17"/>
  <c r="G65" i="17"/>
  <c r="H65" i="17"/>
  <c r="I65" i="17"/>
  <c r="C66" i="17"/>
  <c r="D66" i="17"/>
  <c r="E66" i="17"/>
  <c r="F66" i="17"/>
  <c r="G66" i="17"/>
  <c r="H66" i="17"/>
  <c r="I66" i="17"/>
  <c r="C67" i="17"/>
  <c r="D67" i="17"/>
  <c r="E67" i="17"/>
  <c r="F67" i="17"/>
  <c r="G67" i="17"/>
  <c r="H67" i="17"/>
  <c r="I67" i="17"/>
  <c r="C68" i="17"/>
  <c r="D68" i="17"/>
  <c r="E68" i="17"/>
  <c r="F68" i="17"/>
  <c r="G68" i="17"/>
  <c r="H68" i="17"/>
  <c r="I68" i="17"/>
  <c r="C70" i="17"/>
  <c r="D70" i="17"/>
  <c r="E70" i="17"/>
  <c r="F70" i="17"/>
  <c r="G70" i="17"/>
  <c r="H70" i="17"/>
  <c r="I70" i="17"/>
  <c r="C71" i="17"/>
  <c r="D71" i="17"/>
  <c r="E71" i="17"/>
  <c r="F71" i="17"/>
  <c r="G71" i="17"/>
  <c r="H71" i="17"/>
  <c r="I71" i="17"/>
  <c r="C72" i="17"/>
  <c r="D72" i="17"/>
  <c r="E72" i="17"/>
  <c r="F72" i="17"/>
  <c r="G72" i="17"/>
  <c r="H72" i="17"/>
  <c r="I72" i="17"/>
  <c r="C73" i="17"/>
  <c r="D73" i="17"/>
  <c r="E73" i="17"/>
  <c r="F73" i="17"/>
  <c r="G73" i="17"/>
  <c r="H73" i="17"/>
  <c r="I73" i="17"/>
  <c r="C74" i="17"/>
  <c r="D74" i="17"/>
  <c r="E74" i="17"/>
  <c r="F74" i="17"/>
  <c r="G74" i="17"/>
  <c r="H74" i="17"/>
  <c r="I74" i="17"/>
  <c r="C75" i="17"/>
  <c r="D75" i="17"/>
  <c r="E75" i="17"/>
  <c r="F75" i="17"/>
  <c r="G75" i="17"/>
  <c r="H75" i="17"/>
  <c r="I75" i="17"/>
  <c r="C76" i="17"/>
  <c r="D76" i="17"/>
  <c r="E76" i="17"/>
  <c r="F76" i="17"/>
  <c r="G76" i="17"/>
  <c r="H76" i="17"/>
  <c r="I76" i="17"/>
  <c r="C77" i="17"/>
  <c r="D77" i="17"/>
  <c r="E77" i="17"/>
  <c r="F77" i="17"/>
  <c r="G77" i="17"/>
  <c r="H77" i="17"/>
  <c r="I77" i="17"/>
  <c r="C78" i="17"/>
  <c r="D78" i="17"/>
  <c r="E78" i="17"/>
  <c r="F78" i="17"/>
  <c r="G78" i="17"/>
  <c r="H78" i="17"/>
  <c r="I78" i="17"/>
  <c r="C80" i="17"/>
  <c r="D80" i="17"/>
  <c r="E80" i="17"/>
  <c r="F80" i="17"/>
  <c r="G80" i="17"/>
  <c r="H80" i="17"/>
  <c r="I80" i="17"/>
  <c r="C83" i="17"/>
  <c r="D83" i="17"/>
  <c r="E83" i="17"/>
  <c r="F83" i="17"/>
  <c r="G83" i="17"/>
  <c r="H83" i="17"/>
  <c r="I83" i="17"/>
  <c r="C5" i="17"/>
  <c r="E5" i="17"/>
  <c r="F5" i="17"/>
  <c r="G5" i="17"/>
  <c r="H5" i="17"/>
  <c r="I5" i="17"/>
  <c r="D5" i="17"/>
  <c r="E90" i="17"/>
  <c r="F90" i="17"/>
  <c r="G90" i="17"/>
  <c r="H90" i="17"/>
  <c r="I90" i="17"/>
  <c r="E91" i="17"/>
  <c r="F91" i="17"/>
  <c r="G91" i="17"/>
  <c r="H91" i="17"/>
  <c r="I91" i="17"/>
  <c r="D91" i="17"/>
  <c r="D90" i="17"/>
  <c r="M57" i="2"/>
  <c r="E92" i="17" s="1"/>
  <c r="N57" i="2"/>
  <c r="F92" i="17" s="1"/>
  <c r="O57" i="2"/>
  <c r="G92" i="17" s="1"/>
  <c r="P57" i="2"/>
  <c r="H92" i="17" s="1"/>
  <c r="Q57" i="2"/>
  <c r="I92" i="17" s="1"/>
  <c r="L57" i="2"/>
  <c r="D92" i="17" s="1"/>
  <c r="Q81" i="16"/>
  <c r="I79" i="17" s="1"/>
  <c r="P81" i="16"/>
  <c r="O81" i="16"/>
  <c r="N81" i="16"/>
  <c r="M81" i="16"/>
  <c r="K81" i="16"/>
  <c r="Q71" i="16"/>
  <c r="I69" i="17" s="1"/>
  <c r="P71" i="16"/>
  <c r="O71" i="16"/>
  <c r="N71" i="16"/>
  <c r="M71" i="16"/>
  <c r="L71" i="16"/>
  <c r="K71" i="16"/>
  <c r="Q61" i="16"/>
  <c r="I59" i="17" s="1"/>
  <c r="P61" i="16"/>
  <c r="H59" i="17" s="1"/>
  <c r="O61" i="16"/>
  <c r="G59" i="17" s="1"/>
  <c r="N61" i="16"/>
  <c r="F59" i="17" s="1"/>
  <c r="M61" i="16"/>
  <c r="E59" i="17" s="1"/>
  <c r="L61" i="16"/>
  <c r="D59" i="17" s="1"/>
  <c r="K61" i="16"/>
  <c r="C59" i="17" s="1"/>
  <c r="Q52" i="16"/>
  <c r="I51" i="17" s="1"/>
  <c r="P52" i="16"/>
  <c r="O52" i="16"/>
  <c r="N52" i="16"/>
  <c r="M52" i="16"/>
  <c r="L52" i="16"/>
  <c r="K52" i="16"/>
  <c r="Q42" i="16"/>
  <c r="I41" i="17" s="1"/>
  <c r="P42" i="16"/>
  <c r="O42" i="16"/>
  <c r="N42" i="16"/>
  <c r="M42" i="16"/>
  <c r="L42" i="16"/>
  <c r="K42" i="16"/>
  <c r="Q33" i="16"/>
  <c r="I32" i="17" s="1"/>
  <c r="P33" i="16"/>
  <c r="O33" i="16"/>
  <c r="N33" i="16"/>
  <c r="M33" i="16"/>
  <c r="L33" i="16"/>
  <c r="K33" i="16"/>
  <c r="Q22" i="16"/>
  <c r="I23" i="17" s="1"/>
  <c r="P22" i="16"/>
  <c r="O22" i="16"/>
  <c r="N22" i="16"/>
  <c r="M22" i="16"/>
  <c r="L22" i="16"/>
  <c r="K22" i="16"/>
  <c r="C23" i="17" s="1"/>
  <c r="Q11" i="16"/>
  <c r="P11" i="16"/>
  <c r="O11" i="16"/>
  <c r="N11" i="16"/>
  <c r="M11" i="16"/>
  <c r="L11" i="16"/>
  <c r="K11" i="16"/>
  <c r="X10" i="16"/>
  <c r="W10" i="16"/>
  <c r="V10" i="16"/>
  <c r="U10" i="16"/>
  <c r="T10" i="16"/>
  <c r="S10" i="16"/>
  <c r="X9" i="16"/>
  <c r="W9" i="16"/>
  <c r="V9" i="16"/>
  <c r="U9" i="16"/>
  <c r="T9" i="16"/>
  <c r="S9" i="16"/>
  <c r="X8" i="16"/>
  <c r="W8" i="16"/>
  <c r="V8" i="16"/>
  <c r="U8" i="16"/>
  <c r="T8" i="16"/>
  <c r="S8" i="16"/>
  <c r="X7" i="16"/>
  <c r="W7" i="16"/>
  <c r="V7" i="16"/>
  <c r="U7" i="16"/>
  <c r="T7" i="16"/>
  <c r="S7" i="16"/>
  <c r="X6" i="16"/>
  <c r="W6" i="16"/>
  <c r="V6" i="16"/>
  <c r="U6" i="16"/>
  <c r="T6" i="16"/>
  <c r="S6" i="16"/>
  <c r="K12" i="16" l="1"/>
  <c r="D23" i="17"/>
  <c r="O12" i="16"/>
  <c r="H23" i="17"/>
  <c r="E9" i="40"/>
  <c r="Q19" i="40" s="1"/>
  <c r="P12" i="16"/>
  <c r="I9" i="40"/>
  <c r="L12" i="16"/>
  <c r="AF12" i="16"/>
  <c r="G13" i="40"/>
  <c r="H9" i="40"/>
  <c r="T19" i="40" s="1"/>
  <c r="M12" i="16"/>
  <c r="V12" i="16" s="1"/>
  <c r="G9" i="40"/>
  <c r="G92" i="40" s="1"/>
  <c r="N12" i="16"/>
  <c r="G23" i="17"/>
  <c r="E13" i="40"/>
  <c r="H13" i="40"/>
  <c r="J13" i="40"/>
  <c r="F13" i="40"/>
  <c r="Q18" i="40"/>
  <c r="D51" i="17"/>
  <c r="I16" i="40"/>
  <c r="F69" i="17"/>
  <c r="G17" i="40"/>
  <c r="L27" i="29"/>
  <c r="E10" i="40"/>
  <c r="E12" i="40" s="1"/>
  <c r="I11" i="19"/>
  <c r="I23" i="19" s="1"/>
  <c r="F9" i="40"/>
  <c r="E69" i="17"/>
  <c r="H17" i="40"/>
  <c r="Q27" i="29"/>
  <c r="J10" i="40"/>
  <c r="I13" i="40"/>
  <c r="F51" i="17"/>
  <c r="G16" i="40"/>
  <c r="H69" i="17"/>
  <c r="E17" i="40"/>
  <c r="E51" i="17"/>
  <c r="H16" i="40"/>
  <c r="M11" i="19"/>
  <c r="M23" i="19" s="1"/>
  <c r="J9" i="40"/>
  <c r="P27" i="29"/>
  <c r="I10" i="40"/>
  <c r="G51" i="17"/>
  <c r="F16" i="40"/>
  <c r="O27" i="29"/>
  <c r="H10" i="40"/>
  <c r="H51" i="17"/>
  <c r="E16" i="40"/>
  <c r="N27" i="29"/>
  <c r="G10" i="40"/>
  <c r="C69" i="17"/>
  <c r="J17" i="40"/>
  <c r="C51" i="17"/>
  <c r="J16" i="40"/>
  <c r="G69" i="17"/>
  <c r="F17" i="40"/>
  <c r="S18" i="40"/>
  <c r="M27" i="29"/>
  <c r="F10" i="40"/>
  <c r="D69" i="17"/>
  <c r="I17" i="40"/>
  <c r="C100" i="17"/>
  <c r="H79" i="17"/>
  <c r="C13" i="32"/>
  <c r="C79" i="17"/>
  <c r="H13" i="32"/>
  <c r="D79" i="17"/>
  <c r="G13" i="32"/>
  <c r="G79" i="17"/>
  <c r="D13" i="32"/>
  <c r="E79" i="17"/>
  <c r="F13" i="32"/>
  <c r="F79" i="17"/>
  <c r="E13" i="32"/>
  <c r="I17" i="19"/>
  <c r="C41" i="17"/>
  <c r="Q57" i="29"/>
  <c r="C32" i="17"/>
  <c r="Q42" i="29"/>
  <c r="D41" i="17"/>
  <c r="P57" i="29"/>
  <c r="D32" i="17"/>
  <c r="P42" i="29"/>
  <c r="E41" i="17"/>
  <c r="O57" i="29"/>
  <c r="E32" i="17"/>
  <c r="O42" i="29"/>
  <c r="F41" i="17"/>
  <c r="N57" i="29"/>
  <c r="F32" i="17"/>
  <c r="N42" i="29"/>
  <c r="G41" i="17"/>
  <c r="M57" i="29"/>
  <c r="G32" i="17"/>
  <c r="M42" i="29"/>
  <c r="H32" i="17"/>
  <c r="L42" i="29"/>
  <c r="H41" i="17"/>
  <c r="L57" i="29"/>
  <c r="C92" i="17"/>
  <c r="C99" i="17"/>
  <c r="K47" i="2"/>
  <c r="Y73" i="16"/>
  <c r="G11" i="19"/>
  <c r="G17" i="19" s="1"/>
  <c r="C21" i="17"/>
  <c r="C103" i="17" s="1"/>
  <c r="M12" i="19"/>
  <c r="M16" i="19" s="1"/>
  <c r="S82" i="16"/>
  <c r="D21" i="17"/>
  <c r="D103" i="17" s="1"/>
  <c r="L12" i="19"/>
  <c r="L16" i="19" s="1"/>
  <c r="K27" i="2"/>
  <c r="C87" i="17" s="1"/>
  <c r="T76" i="16"/>
  <c r="L11" i="19"/>
  <c r="L23" i="19" s="1"/>
  <c r="E21" i="17"/>
  <c r="E103" i="17" s="1"/>
  <c r="K12" i="19"/>
  <c r="K16" i="19" s="1"/>
  <c r="U77" i="16"/>
  <c r="K11" i="19"/>
  <c r="K23" i="19" s="1"/>
  <c r="F21" i="17"/>
  <c r="F103" i="17" s="1"/>
  <c r="J12" i="19"/>
  <c r="J16" i="19" s="1"/>
  <c r="V78" i="16"/>
  <c r="J11" i="19"/>
  <c r="J23" i="19" s="1"/>
  <c r="G21" i="17"/>
  <c r="G103" i="17" s="1"/>
  <c r="I12" i="19"/>
  <c r="I16" i="19" s="1"/>
  <c r="G10" i="17"/>
  <c r="G102" i="17" s="1"/>
  <c r="H21" i="17"/>
  <c r="H103" i="17" s="1"/>
  <c r="H12" i="19"/>
  <c r="H16" i="19" s="1"/>
  <c r="X80" i="16"/>
  <c r="H11" i="19"/>
  <c r="H23" i="19" s="1"/>
  <c r="I21" i="17"/>
  <c r="I103" i="17" s="1"/>
  <c r="G12" i="19"/>
  <c r="AE9" i="16"/>
  <c r="AM9" i="16" s="1"/>
  <c r="G107" i="17"/>
  <c r="G30" i="28" s="1"/>
  <c r="F107" i="17"/>
  <c r="H30" i="28" s="1"/>
  <c r="E107" i="17"/>
  <c r="I30" i="28" s="1"/>
  <c r="E10" i="17"/>
  <c r="E102" i="17" s="1"/>
  <c r="D10" i="17"/>
  <c r="D102" i="17" s="1"/>
  <c r="I107" i="17"/>
  <c r="E30" i="28" s="1"/>
  <c r="H107" i="17"/>
  <c r="F30" i="28" s="1"/>
  <c r="F10" i="17"/>
  <c r="F102" i="17" s="1"/>
  <c r="C10" i="17"/>
  <c r="C102" i="17" s="1"/>
  <c r="I10" i="17"/>
  <c r="I102" i="17" s="1"/>
  <c r="H10" i="17"/>
  <c r="H102" i="17" s="1"/>
  <c r="D107" i="17"/>
  <c r="J30" i="28" s="1"/>
  <c r="AD7" i="16"/>
  <c r="AL7" i="16" s="1"/>
  <c r="AD6" i="16"/>
  <c r="AL6" i="16" s="1"/>
  <c r="AD8" i="16"/>
  <c r="AL8" i="16" s="1"/>
  <c r="AE8" i="16"/>
  <c r="AM8" i="16" s="1"/>
  <c r="AD10" i="16"/>
  <c r="AG9" i="16"/>
  <c r="AO9" i="16" s="1"/>
  <c r="AE10" i="16"/>
  <c r="AM10" i="16" s="1"/>
  <c r="X20" i="16"/>
  <c r="U28" i="16"/>
  <c r="U36" i="16"/>
  <c r="U61" i="16"/>
  <c r="V42" i="16"/>
  <c r="W33" i="16"/>
  <c r="AF10" i="16"/>
  <c r="AN10" i="16" s="1"/>
  <c r="W28" i="16"/>
  <c r="AF6" i="16"/>
  <c r="AN6" i="16" s="1"/>
  <c r="AG10" i="16"/>
  <c r="AO10" i="16" s="1"/>
  <c r="X28" i="16"/>
  <c r="AG6" i="16"/>
  <c r="AO6" i="16" s="1"/>
  <c r="AF7" i="16"/>
  <c r="AN7" i="16" s="1"/>
  <c r="AL10" i="16"/>
  <c r="AH10" i="16"/>
  <c r="U11" i="16"/>
  <c r="W30" i="16"/>
  <c r="W35" i="16"/>
  <c r="W52" i="16"/>
  <c r="X61" i="16"/>
  <c r="AG7" i="16"/>
  <c r="AO7" i="16" s="1"/>
  <c r="X14" i="16"/>
  <c r="W67" i="16"/>
  <c r="AF8" i="16"/>
  <c r="AN8" i="16" s="1"/>
  <c r="V20" i="16"/>
  <c r="X38" i="16"/>
  <c r="W42" i="16"/>
  <c r="W68" i="16"/>
  <c r="S73" i="16"/>
  <c r="X81" i="16"/>
  <c r="X13" i="16"/>
  <c r="X52" i="16"/>
  <c r="AH7" i="16"/>
  <c r="X37" i="16"/>
  <c r="W81" i="16"/>
  <c r="AG8" i="16"/>
  <c r="AO8" i="16" s="1"/>
  <c r="AF9" i="16"/>
  <c r="AN9" i="16" s="1"/>
  <c r="W20" i="16"/>
  <c r="V33" i="16"/>
  <c r="S42" i="16"/>
  <c r="W77" i="16"/>
  <c r="X78" i="16"/>
  <c r="X33" i="16"/>
  <c r="L23" i="16"/>
  <c r="T59" i="16"/>
  <c r="T81" i="16"/>
  <c r="AE7" i="16"/>
  <c r="AM7" i="16" s="1"/>
  <c r="U17" i="16"/>
  <c r="M23" i="16"/>
  <c r="X30" i="16"/>
  <c r="T42" i="16"/>
  <c r="V44" i="16"/>
  <c r="U59" i="16"/>
  <c r="T73" i="16"/>
  <c r="U81" i="16"/>
  <c r="V17" i="16"/>
  <c r="T26" i="16"/>
  <c r="X31" i="16"/>
  <c r="V35" i="16"/>
  <c r="U42" i="16"/>
  <c r="W44" i="16"/>
  <c r="S61" i="16"/>
  <c r="S64" i="16"/>
  <c r="T74" i="16"/>
  <c r="U18" i="16"/>
  <c r="U22" i="16"/>
  <c r="U26" i="16"/>
  <c r="U51" i="16"/>
  <c r="T61" i="16"/>
  <c r="T64" i="16"/>
  <c r="U71" i="16"/>
  <c r="U74" i="16"/>
  <c r="S11" i="16"/>
  <c r="V18" i="16"/>
  <c r="V22" i="16"/>
  <c r="T33" i="16"/>
  <c r="V51" i="16"/>
  <c r="U64" i="16"/>
  <c r="AD9" i="16"/>
  <c r="AL9" i="16" s="1"/>
  <c r="T11" i="16"/>
  <c r="X19" i="16"/>
  <c r="V28" i="16"/>
  <c r="U33" i="16"/>
  <c r="V36" i="16"/>
  <c r="W51" i="16"/>
  <c r="V61" i="16"/>
  <c r="V67" i="16"/>
  <c r="X77" i="16"/>
  <c r="T58" i="16"/>
  <c r="AE6" i="16"/>
  <c r="AM6" i="16" s="1"/>
  <c r="U58" i="16"/>
  <c r="V68" i="16"/>
  <c r="Y37" i="16"/>
  <c r="Y30" i="16"/>
  <c r="Y14" i="16"/>
  <c r="Y78" i="16"/>
  <c r="AB9" i="16"/>
  <c r="AJ9" i="16" s="1"/>
  <c r="AD11" i="16"/>
  <c r="S16" i="16"/>
  <c r="W18" i="16"/>
  <c r="Y20" i="16"/>
  <c r="W22" i="16"/>
  <c r="V26" i="16"/>
  <c r="V29" i="16"/>
  <c r="Y31" i="16"/>
  <c r="W36" i="16"/>
  <c r="Y39" i="16"/>
  <c r="X44" i="16"/>
  <c r="U49" i="16"/>
  <c r="T52" i="16"/>
  <c r="X54" i="16"/>
  <c r="V59" i="16"/>
  <c r="T66" i="16"/>
  <c r="X68" i="16"/>
  <c r="V71" i="16"/>
  <c r="U75" i="16"/>
  <c r="Y79" i="16"/>
  <c r="T49" i="16"/>
  <c r="AB6" i="16"/>
  <c r="AJ6" i="16" s="1"/>
  <c r="AC9" i="16"/>
  <c r="AK9" i="16" s="1"/>
  <c r="AE11" i="16"/>
  <c r="T16" i="16"/>
  <c r="U19" i="16"/>
  <c r="W21" i="16"/>
  <c r="X22" i="16"/>
  <c r="U27" i="16"/>
  <c r="W29" i="16"/>
  <c r="S33" i="16"/>
  <c r="X36" i="16"/>
  <c r="S41" i="16"/>
  <c r="X42" i="16"/>
  <c r="W45" i="16"/>
  <c r="T50" i="16"/>
  <c r="U52" i="16"/>
  <c r="Y54" i="16"/>
  <c r="U60" i="16"/>
  <c r="U66" i="16"/>
  <c r="W69" i="16"/>
  <c r="W71" i="16"/>
  <c r="V75" i="16"/>
  <c r="S81" i="16"/>
  <c r="Y13" i="16"/>
  <c r="Y47" i="16"/>
  <c r="AH9" i="16"/>
  <c r="S49" i="16"/>
  <c r="Y38" i="16"/>
  <c r="AF11" i="16"/>
  <c r="U16" i="16"/>
  <c r="V19" i="16"/>
  <c r="X21" i="16"/>
  <c r="V27" i="16"/>
  <c r="X29" i="16"/>
  <c r="V37" i="16"/>
  <c r="T41" i="16"/>
  <c r="Y42" i="16"/>
  <c r="X45" i="16"/>
  <c r="U50" i="16"/>
  <c r="V52" i="16"/>
  <c r="Y56" i="16"/>
  <c r="V60" i="16"/>
  <c r="V66" i="16"/>
  <c r="X69" i="16"/>
  <c r="X71" i="16"/>
  <c r="V76" i="16"/>
  <c r="U82" i="16"/>
  <c r="Y33" i="16"/>
  <c r="S52" i="16"/>
  <c r="Y81" i="16"/>
  <c r="AC6" i="16"/>
  <c r="AK6" i="16" s="1"/>
  <c r="W13" i="16"/>
  <c r="T17" i="16"/>
  <c r="W19" i="16"/>
  <c r="Y21" i="16"/>
  <c r="K23" i="16"/>
  <c r="W27" i="16"/>
  <c r="Y29" i="16"/>
  <c r="U35" i="16"/>
  <c r="W37" i="16"/>
  <c r="U41" i="16"/>
  <c r="X46" i="16"/>
  <c r="V50" i="16"/>
  <c r="S58" i="16"/>
  <c r="W60" i="16"/>
  <c r="W61" i="16"/>
  <c r="U67" i="16"/>
  <c r="X70" i="16"/>
  <c r="Y71" i="16"/>
  <c r="W76" i="16"/>
  <c r="V82" i="16"/>
  <c r="Y46" i="16"/>
  <c r="Y70" i="16"/>
  <c r="S32" i="16"/>
  <c r="AC8" i="16"/>
  <c r="AK8" i="16" s="1"/>
  <c r="AC11" i="16"/>
  <c r="Y15" i="16"/>
  <c r="S17" i="16"/>
  <c r="T18" i="16"/>
  <c r="Y22" i="16"/>
  <c r="S26" i="16"/>
  <c r="T27" i="16"/>
  <c r="Y32" i="16"/>
  <c r="T35" i="16"/>
  <c r="W38" i="16"/>
  <c r="X39" i="16"/>
  <c r="Y40" i="16"/>
  <c r="U44" i="16"/>
  <c r="V45" i="16"/>
  <c r="W46" i="16"/>
  <c r="X47" i="16"/>
  <c r="Y48" i="16"/>
  <c r="S50" i="16"/>
  <c r="T51" i="16"/>
  <c r="W54" i="16"/>
  <c r="X56" i="16"/>
  <c r="Y57" i="16"/>
  <c r="S59" i="16"/>
  <c r="T60" i="16"/>
  <c r="S66" i="16"/>
  <c r="T67" i="16"/>
  <c r="U68" i="16"/>
  <c r="V69" i="16"/>
  <c r="W70" i="16"/>
  <c r="S74" i="16"/>
  <c r="T75" i="16"/>
  <c r="U76" i="16"/>
  <c r="V77" i="16"/>
  <c r="W78" i="16"/>
  <c r="X79" i="16"/>
  <c r="Y80" i="16"/>
  <c r="T82" i="16"/>
  <c r="S39" i="16"/>
  <c r="Y45" i="16"/>
  <c r="S47" i="16"/>
  <c r="T48" i="16"/>
  <c r="Y52" i="16"/>
  <c r="T57" i="16"/>
  <c r="Y61" i="16"/>
  <c r="Y69" i="16"/>
  <c r="T71" i="16"/>
  <c r="U73" i="16"/>
  <c r="V74" i="16"/>
  <c r="W75" i="16"/>
  <c r="X76" i="16"/>
  <c r="Y77" i="16"/>
  <c r="S79" i="16"/>
  <c r="T80" i="16"/>
  <c r="V81" i="16"/>
  <c r="W82" i="16"/>
  <c r="T15" i="16"/>
  <c r="T22" i="16"/>
  <c r="S56" i="16"/>
  <c r="AB7" i="16"/>
  <c r="AJ7" i="16" s="1"/>
  <c r="V11" i="16"/>
  <c r="AG11" i="16"/>
  <c r="S13" i="16"/>
  <c r="T14" i="16"/>
  <c r="U15" i="16"/>
  <c r="V16" i="16"/>
  <c r="W17" i="16"/>
  <c r="X18" i="16"/>
  <c r="Y19" i="16"/>
  <c r="S21" i="16"/>
  <c r="N23" i="16"/>
  <c r="W26" i="16"/>
  <c r="X27" i="16"/>
  <c r="Y28" i="16"/>
  <c r="S30" i="16"/>
  <c r="T31" i="16"/>
  <c r="U32" i="16"/>
  <c r="X35" i="16"/>
  <c r="Y36" i="16"/>
  <c r="S38" i="16"/>
  <c r="T39" i="16"/>
  <c r="U40" i="16"/>
  <c r="V41" i="16"/>
  <c r="Y44" i="16"/>
  <c r="S46" i="16"/>
  <c r="T47" i="16"/>
  <c r="U48" i="16"/>
  <c r="V49" i="16"/>
  <c r="W50" i="16"/>
  <c r="X51" i="16"/>
  <c r="S54" i="16"/>
  <c r="T56" i="16"/>
  <c r="U57" i="16"/>
  <c r="V58" i="16"/>
  <c r="W59" i="16"/>
  <c r="X60" i="16"/>
  <c r="V64" i="16"/>
  <c r="W66" i="16"/>
  <c r="X67" i="16"/>
  <c r="Y68" i="16"/>
  <c r="S70" i="16"/>
  <c r="V73" i="16"/>
  <c r="W74" i="16"/>
  <c r="X75" i="16"/>
  <c r="Y76" i="16"/>
  <c r="S78" i="16"/>
  <c r="T79" i="16"/>
  <c r="U80" i="16"/>
  <c r="X82" i="16"/>
  <c r="S15" i="16"/>
  <c r="S40" i="16"/>
  <c r="S48" i="16"/>
  <c r="S71" i="16"/>
  <c r="S31" i="16"/>
  <c r="AC7" i="16"/>
  <c r="AK7" i="16" s="1"/>
  <c r="AH8" i="16"/>
  <c r="AB10" i="16"/>
  <c r="AJ10" i="16" s="1"/>
  <c r="W11" i="16"/>
  <c r="AH11" i="16"/>
  <c r="T13" i="16"/>
  <c r="U14" i="16"/>
  <c r="V15" i="16"/>
  <c r="W16" i="16"/>
  <c r="X17" i="16"/>
  <c r="Y18" i="16"/>
  <c r="S20" i="16"/>
  <c r="T21" i="16"/>
  <c r="O23" i="16"/>
  <c r="X26" i="16"/>
  <c r="Y27" i="16"/>
  <c r="S29" i="16"/>
  <c r="T30" i="16"/>
  <c r="U31" i="16"/>
  <c r="V32" i="16"/>
  <c r="Y35" i="16"/>
  <c r="S37" i="16"/>
  <c r="T38" i="16"/>
  <c r="U39" i="16"/>
  <c r="V40" i="16"/>
  <c r="W41" i="16"/>
  <c r="S45" i="16"/>
  <c r="T46" i="16"/>
  <c r="U47" i="16"/>
  <c r="V48" i="16"/>
  <c r="W49" i="16"/>
  <c r="X50" i="16"/>
  <c r="Y51" i="16"/>
  <c r="T54" i="16"/>
  <c r="U56" i="16"/>
  <c r="V57" i="16"/>
  <c r="W58" i="16"/>
  <c r="X59" i="16"/>
  <c r="Y60" i="16"/>
  <c r="W64" i="16"/>
  <c r="X66" i="16"/>
  <c r="Y67" i="16"/>
  <c r="S69" i="16"/>
  <c r="T70" i="16"/>
  <c r="W73" i="16"/>
  <c r="X74" i="16"/>
  <c r="Y75" i="16"/>
  <c r="S77" i="16"/>
  <c r="T78" i="16"/>
  <c r="U79" i="16"/>
  <c r="V80" i="16"/>
  <c r="Y82" i="16"/>
  <c r="S80" i="16"/>
  <c r="S14" i="16"/>
  <c r="T40" i="16"/>
  <c r="AC10" i="16"/>
  <c r="AK10" i="16" s="1"/>
  <c r="X11" i="16"/>
  <c r="U13" i="16"/>
  <c r="V14" i="16"/>
  <c r="W15" i="16"/>
  <c r="X16" i="16"/>
  <c r="Y17" i="16"/>
  <c r="S19" i="16"/>
  <c r="T20" i="16"/>
  <c r="U21" i="16"/>
  <c r="P23" i="16"/>
  <c r="Y26" i="16"/>
  <c r="S28" i="16"/>
  <c r="T29" i="16"/>
  <c r="U30" i="16"/>
  <c r="V31" i="16"/>
  <c r="W32" i="16"/>
  <c r="S36" i="16"/>
  <c r="T37" i="16"/>
  <c r="U38" i="16"/>
  <c r="V39" i="16"/>
  <c r="W40" i="16"/>
  <c r="X41" i="16"/>
  <c r="S44" i="16"/>
  <c r="T45" i="16"/>
  <c r="U46" i="16"/>
  <c r="V47" i="16"/>
  <c r="W48" i="16"/>
  <c r="X49" i="16"/>
  <c r="Y50" i="16"/>
  <c r="U54" i="16"/>
  <c r="V56" i="16"/>
  <c r="W57" i="16"/>
  <c r="X58" i="16"/>
  <c r="Y59" i="16"/>
  <c r="X64" i="16"/>
  <c r="Y66" i="16"/>
  <c r="S68" i="16"/>
  <c r="T69" i="16"/>
  <c r="U70" i="16"/>
  <c r="X73" i="16"/>
  <c r="Y74" i="16"/>
  <c r="S76" i="16"/>
  <c r="T77" i="16"/>
  <c r="U78" i="16"/>
  <c r="V79" i="16"/>
  <c r="W80" i="16"/>
  <c r="S22" i="16"/>
  <c r="S57" i="16"/>
  <c r="T32" i="16"/>
  <c r="AH6" i="16"/>
  <c r="AB8" i="16"/>
  <c r="AJ8" i="16" s="1"/>
  <c r="AB11" i="16"/>
  <c r="V13" i="16"/>
  <c r="W14" i="16"/>
  <c r="X15" i="16"/>
  <c r="Y16" i="16"/>
  <c r="S18" i="16"/>
  <c r="T19" i="16"/>
  <c r="U20" i="16"/>
  <c r="V21" i="16"/>
  <c r="Q23" i="16"/>
  <c r="S27" i="16"/>
  <c r="T28" i="16"/>
  <c r="U29" i="16"/>
  <c r="V30" i="16"/>
  <c r="W31" i="16"/>
  <c r="X32" i="16"/>
  <c r="S35" i="16"/>
  <c r="T36" i="16"/>
  <c r="U37" i="16"/>
  <c r="V38" i="16"/>
  <c r="W39" i="16"/>
  <c r="X40" i="16"/>
  <c r="Y41" i="16"/>
  <c r="T44" i="16"/>
  <c r="U45" i="16"/>
  <c r="V46" i="16"/>
  <c r="W47" i="16"/>
  <c r="X48" i="16"/>
  <c r="Y49" i="16"/>
  <c r="S51" i="16"/>
  <c r="V54" i="16"/>
  <c r="W56" i="16"/>
  <c r="X57" i="16"/>
  <c r="Y58" i="16"/>
  <c r="S60" i="16"/>
  <c r="Y64" i="16"/>
  <c r="S67" i="16"/>
  <c r="T68" i="16"/>
  <c r="U69" i="16"/>
  <c r="V70" i="16"/>
  <c r="S75" i="16"/>
  <c r="W79" i="16"/>
  <c r="T18" i="40" l="1"/>
  <c r="H92" i="40"/>
  <c r="T17" i="40"/>
  <c r="I12" i="40"/>
  <c r="I95" i="40" s="1"/>
  <c r="H12" i="40"/>
  <c r="H95" i="40" s="1"/>
  <c r="S19" i="40"/>
  <c r="Q17" i="40"/>
  <c r="O18" i="40"/>
  <c r="K18" i="40"/>
  <c r="L18" i="40"/>
  <c r="M18" i="40"/>
  <c r="N18" i="40"/>
  <c r="I92" i="40"/>
  <c r="G12" i="40"/>
  <c r="G95" i="40" s="1"/>
  <c r="U17" i="40"/>
  <c r="U19" i="40"/>
  <c r="U18" i="40"/>
  <c r="S17" i="40"/>
  <c r="AE12" i="16"/>
  <c r="AM12" i="16" s="1"/>
  <c r="M17" i="19"/>
  <c r="R17" i="40"/>
  <c r="C107" i="17"/>
  <c r="K30" i="28" s="1"/>
  <c r="J92" i="40"/>
  <c r="J12" i="40"/>
  <c r="V19" i="40"/>
  <c r="V18" i="40"/>
  <c r="I15" i="40"/>
  <c r="I30" i="40" s="1"/>
  <c r="U16" i="40"/>
  <c r="V17" i="40"/>
  <c r="E15" i="40"/>
  <c r="E30" i="40" s="1"/>
  <c r="Q16" i="40"/>
  <c r="F15" i="40"/>
  <c r="F30" i="40" s="1"/>
  <c r="R16" i="40"/>
  <c r="F92" i="40"/>
  <c r="F12" i="40"/>
  <c r="R18" i="40"/>
  <c r="R19" i="40"/>
  <c r="J15" i="40"/>
  <c r="J30" i="40" s="1"/>
  <c r="V16" i="40"/>
  <c r="G15" i="40"/>
  <c r="G30" i="40" s="1"/>
  <c r="S16" i="40"/>
  <c r="H15" i="40"/>
  <c r="H30" i="40" s="1"/>
  <c r="T16" i="40"/>
  <c r="G23" i="32"/>
  <c r="G18" i="32"/>
  <c r="G7" i="32"/>
  <c r="E23" i="32"/>
  <c r="E39" i="32" s="1"/>
  <c r="E40" i="32" s="1"/>
  <c r="E18" i="32"/>
  <c r="E7" i="32"/>
  <c r="H18" i="32"/>
  <c r="H7" i="32"/>
  <c r="F18" i="32"/>
  <c r="F7" i="32"/>
  <c r="F23" i="32"/>
  <c r="C18" i="32"/>
  <c r="C23" i="32"/>
  <c r="C7" i="32"/>
  <c r="D23" i="32"/>
  <c r="D18" i="32"/>
  <c r="D7" i="32"/>
  <c r="BI7" i="16"/>
  <c r="H17" i="19"/>
  <c r="I27" i="19"/>
  <c r="I29" i="19" s="1"/>
  <c r="I31" i="19"/>
  <c r="I33" i="19" s="1"/>
  <c r="F94" i="40" s="1"/>
  <c r="J27" i="19"/>
  <c r="J29" i="19" s="1"/>
  <c r="J31" i="19"/>
  <c r="J33" i="19" s="1"/>
  <c r="G94" i="40" s="1"/>
  <c r="K27" i="19"/>
  <c r="K29" i="19" s="1"/>
  <c r="K31" i="19"/>
  <c r="K33" i="19" s="1"/>
  <c r="H94" i="40" s="1"/>
  <c r="M27" i="19"/>
  <c r="M29" i="19" s="1"/>
  <c r="M31" i="19"/>
  <c r="H27" i="19"/>
  <c r="H31" i="19"/>
  <c r="H33" i="19" s="1"/>
  <c r="L27" i="19"/>
  <c r="L29" i="19" s="1"/>
  <c r="L31" i="19"/>
  <c r="L33" i="19" s="1"/>
  <c r="J25" i="19"/>
  <c r="I64" i="19" s="1"/>
  <c r="J17" i="19"/>
  <c r="K25" i="19"/>
  <c r="J64" i="19" s="1"/>
  <c r="K17" i="19"/>
  <c r="L25" i="19"/>
  <c r="K64" i="19" s="1"/>
  <c r="L17" i="19"/>
  <c r="K58" i="2"/>
  <c r="K59" i="2" s="1"/>
  <c r="C89" i="17"/>
  <c r="I25" i="19"/>
  <c r="H64" i="19" s="1"/>
  <c r="M25" i="19"/>
  <c r="L64" i="19" s="1"/>
  <c r="AK11" i="16"/>
  <c r="O62" i="16"/>
  <c r="F27" i="40" s="1"/>
  <c r="F101" i="40" s="1"/>
  <c r="G22" i="17"/>
  <c r="G104" i="17" s="1"/>
  <c r="Q62" i="16"/>
  <c r="I60" i="17" s="1"/>
  <c r="I108" i="17" s="1"/>
  <c r="I22" i="17"/>
  <c r="I104" i="17" s="1"/>
  <c r="N62" i="16"/>
  <c r="G27" i="40" s="1"/>
  <c r="G101" i="40" s="1"/>
  <c r="F22" i="17"/>
  <c r="F104" i="17" s="1"/>
  <c r="L62" i="16"/>
  <c r="I27" i="40" s="1"/>
  <c r="I101" i="40" s="1"/>
  <c r="D22" i="17"/>
  <c r="D104" i="17" s="1"/>
  <c r="K62" i="16"/>
  <c r="J27" i="40" s="1"/>
  <c r="J101" i="40" s="1"/>
  <c r="C22" i="17"/>
  <c r="C104" i="17" s="1"/>
  <c r="P62" i="16"/>
  <c r="E27" i="40" s="1"/>
  <c r="E101" i="40" s="1"/>
  <c r="H22" i="17"/>
  <c r="H104" i="17" s="1"/>
  <c r="M62" i="16"/>
  <c r="H27" i="40" s="1"/>
  <c r="H101" i="40" s="1"/>
  <c r="E22" i="17"/>
  <c r="E104" i="17" s="1"/>
  <c r="AJ11" i="16"/>
  <c r="AM11" i="16"/>
  <c r="AL11" i="16"/>
  <c r="AN11" i="16"/>
  <c r="AO11" i="16"/>
  <c r="I96" i="40" l="1"/>
  <c r="G96" i="40"/>
  <c r="H96" i="40"/>
  <c r="W19" i="40"/>
  <c r="M19" i="40" s="1"/>
  <c r="W18" i="40"/>
  <c r="W17" i="40"/>
  <c r="K17" i="40" s="1"/>
  <c r="W16" i="40"/>
  <c r="L16" i="40" s="1"/>
  <c r="H20" i="40"/>
  <c r="H23" i="40" s="1"/>
  <c r="H65" i="19"/>
  <c r="G93" i="40"/>
  <c r="J99" i="40"/>
  <c r="J100" i="40"/>
  <c r="F100" i="40"/>
  <c r="F99" i="40"/>
  <c r="L65" i="19"/>
  <c r="K93" i="40"/>
  <c r="E100" i="40"/>
  <c r="E99" i="40"/>
  <c r="G20" i="40"/>
  <c r="G23" i="40" s="1"/>
  <c r="I99" i="40"/>
  <c r="I100" i="40"/>
  <c r="J65" i="19"/>
  <c r="I93" i="40"/>
  <c r="J95" i="40"/>
  <c r="J96" i="40"/>
  <c r="J20" i="40"/>
  <c r="J23" i="40" s="1"/>
  <c r="H100" i="40"/>
  <c r="H99" i="40"/>
  <c r="G99" i="40"/>
  <c r="G100" i="40"/>
  <c r="K66" i="19"/>
  <c r="I94" i="40"/>
  <c r="F20" i="40"/>
  <c r="F23" i="40" s="1"/>
  <c r="F95" i="40"/>
  <c r="F96" i="40"/>
  <c r="K65" i="19"/>
  <c r="J93" i="40"/>
  <c r="I65" i="19"/>
  <c r="H93" i="40"/>
  <c r="I20" i="40"/>
  <c r="I23" i="40" s="1"/>
  <c r="E20" i="40"/>
  <c r="E23" i="40" s="1"/>
  <c r="I110" i="17"/>
  <c r="I111" i="17"/>
  <c r="K63" i="16"/>
  <c r="C61" i="17" s="1"/>
  <c r="C105" i="17" s="1"/>
  <c r="H12" i="32"/>
  <c r="G60" i="17"/>
  <c r="G108" i="17" s="1"/>
  <c r="D12" i="32"/>
  <c r="H60" i="17"/>
  <c r="H108" i="17" s="1"/>
  <c r="C12" i="32"/>
  <c r="L83" i="16"/>
  <c r="L86" i="16" s="1"/>
  <c r="D84" i="17" s="1"/>
  <c r="G12" i="32"/>
  <c r="M63" i="16"/>
  <c r="E61" i="17" s="1"/>
  <c r="E105" i="17" s="1"/>
  <c r="F12" i="32"/>
  <c r="F60" i="17"/>
  <c r="F108" i="17" s="1"/>
  <c r="E12" i="32"/>
  <c r="G27" i="19"/>
  <c r="G29" i="19" s="1"/>
  <c r="O29" i="19"/>
  <c r="M93" i="40" s="1"/>
  <c r="N27" i="19"/>
  <c r="G23" i="19"/>
  <c r="G25" i="19" s="1"/>
  <c r="O25" i="19" s="1"/>
  <c r="O23" i="19" s="1"/>
  <c r="I66" i="19"/>
  <c r="J66" i="19"/>
  <c r="H66" i="19"/>
  <c r="G31" i="19"/>
  <c r="G66" i="19"/>
  <c r="BJ6" i="16"/>
  <c r="BK6" i="16"/>
  <c r="BK8" i="16"/>
  <c r="BL8" i="16"/>
  <c r="BK7" i="16"/>
  <c r="BL7" i="16"/>
  <c r="BJ7" i="16"/>
  <c r="BM7" i="16"/>
  <c r="BM9" i="16"/>
  <c r="BJ8" i="16"/>
  <c r="BN6" i="16"/>
  <c r="BN8" i="16"/>
  <c r="BN7" i="16"/>
  <c r="BI9" i="16"/>
  <c r="BL6" i="16"/>
  <c r="BN9" i="16"/>
  <c r="BK9" i="16"/>
  <c r="BM8" i="16"/>
  <c r="BJ9" i="16"/>
  <c r="BL9" i="16"/>
  <c r="BM6" i="16"/>
  <c r="BI8" i="16"/>
  <c r="Q63" i="16"/>
  <c r="I61" i="17" s="1"/>
  <c r="I105" i="17" s="1"/>
  <c r="P83" i="16"/>
  <c r="H81" i="17" s="1"/>
  <c r="K35" i="19"/>
  <c r="K37" i="19" s="1"/>
  <c r="I35" i="19"/>
  <c r="I37" i="19" s="1"/>
  <c r="J35" i="19"/>
  <c r="J37" i="19" s="1"/>
  <c r="O83" i="16"/>
  <c r="G81" i="17" s="1"/>
  <c r="N83" i="16"/>
  <c r="N86" i="16" s="1"/>
  <c r="H25" i="19"/>
  <c r="G64" i="19" s="1"/>
  <c r="M35" i="19"/>
  <c r="O63" i="16"/>
  <c r="G61" i="17" s="1"/>
  <c r="G105" i="17" s="1"/>
  <c r="H29" i="19"/>
  <c r="M33" i="19"/>
  <c r="L35" i="19"/>
  <c r="L37" i="19" s="1"/>
  <c r="Q83" i="16"/>
  <c r="Q86" i="16" s="1"/>
  <c r="I84" i="17" s="1"/>
  <c r="L63" i="16"/>
  <c r="D61" i="17" s="1"/>
  <c r="D105" i="17" s="1"/>
  <c r="D60" i="17"/>
  <c r="D108" i="17" s="1"/>
  <c r="N63" i="16"/>
  <c r="F61" i="17" s="1"/>
  <c r="F105" i="17" s="1"/>
  <c r="P63" i="16"/>
  <c r="H61" i="17" s="1"/>
  <c r="H105" i="17" s="1"/>
  <c r="M83" i="16"/>
  <c r="E60" i="17"/>
  <c r="E108" i="17" s="1"/>
  <c r="K83" i="16"/>
  <c r="C60" i="17"/>
  <c r="M17" i="40" l="1"/>
  <c r="N17" i="40"/>
  <c r="O17" i="40"/>
  <c r="L17" i="40"/>
  <c r="L19" i="40"/>
  <c r="O19" i="40"/>
  <c r="N19" i="40"/>
  <c r="K19" i="40"/>
  <c r="H104" i="40"/>
  <c r="M16" i="40"/>
  <c r="M15" i="40" s="1"/>
  <c r="M20" i="40" s="1"/>
  <c r="M21" i="40" s="1"/>
  <c r="O16" i="40"/>
  <c r="N16" i="40"/>
  <c r="H64" i="40"/>
  <c r="H68" i="40" s="1"/>
  <c r="H83" i="40" s="1"/>
  <c r="K16" i="40"/>
  <c r="G64" i="40"/>
  <c r="G68" i="40" s="1"/>
  <c r="G83" i="40" s="1"/>
  <c r="G104" i="40"/>
  <c r="E64" i="40"/>
  <c r="E68" i="40" s="1"/>
  <c r="E83" i="40" s="1"/>
  <c r="E104" i="40"/>
  <c r="F104" i="40"/>
  <c r="F64" i="40"/>
  <c r="F68" i="40" s="1"/>
  <c r="F83" i="40" s="1"/>
  <c r="I104" i="40"/>
  <c r="I64" i="40"/>
  <c r="I68" i="40" s="1"/>
  <c r="I83" i="40" s="1"/>
  <c r="L66" i="19"/>
  <c r="J94" i="40"/>
  <c r="G65" i="19"/>
  <c r="F93" i="40"/>
  <c r="J64" i="40"/>
  <c r="J68" i="40" s="1"/>
  <c r="J83" i="40" s="1"/>
  <c r="J103" i="40"/>
  <c r="J104" i="40"/>
  <c r="G33" i="19"/>
  <c r="E110" i="17"/>
  <c r="E111" i="17"/>
  <c r="H110" i="17"/>
  <c r="H111" i="17"/>
  <c r="D110" i="17"/>
  <c r="D111" i="17"/>
  <c r="F110" i="17"/>
  <c r="F111" i="17"/>
  <c r="G110" i="17"/>
  <c r="G111" i="17"/>
  <c r="E14" i="32"/>
  <c r="C14" i="32"/>
  <c r="H14" i="32"/>
  <c r="F14" i="32"/>
  <c r="D81" i="17"/>
  <c r="G14" i="32"/>
  <c r="D14" i="32"/>
  <c r="J31" i="28"/>
  <c r="C108" i="17"/>
  <c r="P23" i="19"/>
  <c r="O27" i="19"/>
  <c r="N93" i="40"/>
  <c r="N31" i="19"/>
  <c r="BJ11" i="16"/>
  <c r="BM11" i="16"/>
  <c r="BN11" i="16"/>
  <c r="BL11" i="16"/>
  <c r="BK11" i="16"/>
  <c r="P86" i="16"/>
  <c r="H84" i="17" s="1"/>
  <c r="H114" i="17" s="1"/>
  <c r="F29" i="28" s="1"/>
  <c r="I81" i="17"/>
  <c r="F81" i="17"/>
  <c r="F84" i="17"/>
  <c r="F114" i="17" s="1"/>
  <c r="H29" i="28" s="1"/>
  <c r="F115" i="17"/>
  <c r="M37" i="19"/>
  <c r="D115" i="17"/>
  <c r="H35" i="19"/>
  <c r="H37" i="19" s="1"/>
  <c r="O86" i="16"/>
  <c r="G84" i="17" s="1"/>
  <c r="I115" i="17"/>
  <c r="I114" i="17"/>
  <c r="E29" i="28" s="1"/>
  <c r="D114" i="17"/>
  <c r="J29" i="28" s="1"/>
  <c r="K86" i="16"/>
  <c r="C84" i="17" s="1"/>
  <c r="C81" i="17"/>
  <c r="M86" i="16"/>
  <c r="E84" i="17" s="1"/>
  <c r="E81" i="17"/>
  <c r="D109" i="17"/>
  <c r="L15" i="40" l="1"/>
  <c r="L20" i="40" s="1"/>
  <c r="L21" i="40" s="1"/>
  <c r="O15" i="40"/>
  <c r="O20" i="40" s="1"/>
  <c r="O21" i="40" s="1"/>
  <c r="O47" i="40" s="1"/>
  <c r="K15" i="40"/>
  <c r="K20" i="40" s="1"/>
  <c r="K21" i="40" s="1"/>
  <c r="N15" i="40"/>
  <c r="N20" i="40" s="1"/>
  <c r="N21" i="40" s="1"/>
  <c r="C111" i="17"/>
  <c r="C109" i="17"/>
  <c r="J41" i="37"/>
  <c r="E42" i="37" s="1"/>
  <c r="E43" i="37" s="1"/>
  <c r="E44" i="37" s="1"/>
  <c r="C110" i="17"/>
  <c r="K31" i="28"/>
  <c r="O93" i="40"/>
  <c r="P27" i="19"/>
  <c r="G109" i="17"/>
  <c r="G31" i="28"/>
  <c r="I109" i="17"/>
  <c r="E31" i="28"/>
  <c r="H115" i="17"/>
  <c r="G35" i="19"/>
  <c r="G37" i="19" s="1"/>
  <c r="C113" i="17"/>
  <c r="K28" i="28" s="1"/>
  <c r="C114" i="17"/>
  <c r="K29" i="28" s="1"/>
  <c r="C115" i="17"/>
  <c r="G115" i="17"/>
  <c r="G114" i="17"/>
  <c r="G29" i="28" s="1"/>
  <c r="E115" i="17"/>
  <c r="I31" i="28"/>
  <c r="E114" i="17"/>
  <c r="I29" i="28" s="1"/>
  <c r="O23" i="40" l="1"/>
  <c r="O64" i="40" s="1"/>
  <c r="R23" i="19"/>
  <c r="Q23" i="19"/>
  <c r="E64" i="37"/>
  <c r="E45" i="28"/>
  <c r="J105" i="17"/>
  <c r="F57" i="37"/>
  <c r="F45" i="28"/>
  <c r="F56" i="37"/>
  <c r="R27" i="19"/>
  <c r="Q27" i="19"/>
  <c r="H109" i="17"/>
  <c r="F31" i="28"/>
  <c r="H31" i="28"/>
  <c r="F109" i="17"/>
  <c r="E109" i="17"/>
  <c r="I54" i="37" l="1"/>
  <c r="I53" i="37"/>
  <c r="C8" i="32"/>
  <c r="C15" i="32" s="1"/>
  <c r="C16" i="32" s="1"/>
  <c r="C44" i="32" s="1"/>
  <c r="C11" i="8"/>
  <c r="R35" i="19"/>
  <c r="G31" i="32" l="1"/>
  <c r="G33" i="32" s="1"/>
  <c r="C31" i="32"/>
  <c r="C33" i="32" s="1"/>
  <c r="D31" i="32"/>
  <c r="D33" i="32" s="1"/>
  <c r="H31" i="32"/>
  <c r="H33" i="32" s="1"/>
  <c r="F31" i="32"/>
  <c r="F33" i="32" s="1"/>
  <c r="C32" i="32"/>
  <c r="C50" i="32"/>
  <c r="D8" i="32"/>
  <c r="E8" i="32" s="1"/>
  <c r="E50" i="32" s="1"/>
  <c r="E31" i="32"/>
  <c r="E33" i="32" s="1"/>
  <c r="I50" i="37"/>
  <c r="I52" i="37"/>
  <c r="I51" i="37"/>
  <c r="I55" i="37"/>
  <c r="E17" i="20"/>
  <c r="F17" i="20"/>
  <c r="E15" i="32" l="1"/>
  <c r="E16" i="32" s="1"/>
  <c r="E44" i="32" s="1"/>
  <c r="F8" i="32"/>
  <c r="F50" i="32" s="1"/>
  <c r="D15" i="32"/>
  <c r="D16" i="32" s="1"/>
  <c r="D44" i="32" s="1"/>
  <c r="D50" i="32"/>
  <c r="K47" i="40"/>
  <c r="K23" i="40"/>
  <c r="F18" i="20"/>
  <c r="F19" i="20" s="1"/>
  <c r="E18" i="20"/>
  <c r="E19" i="20" s="1"/>
  <c r="G17" i="20"/>
  <c r="G8" i="32" l="1"/>
  <c r="E32" i="32"/>
  <c r="F15" i="32"/>
  <c r="F16" i="32" s="1"/>
  <c r="F44" i="32" s="1"/>
  <c r="D32" i="32"/>
  <c r="M47" i="40"/>
  <c r="M23" i="40"/>
  <c r="L47" i="40"/>
  <c r="L23" i="40"/>
  <c r="K56" i="40"/>
  <c r="K64" i="40"/>
  <c r="G18" i="20"/>
  <c r="G19" i="20" s="1"/>
  <c r="H8" i="32"/>
  <c r="G50" i="32"/>
  <c r="G15" i="32"/>
  <c r="G16" i="32" s="1"/>
  <c r="F32" i="32"/>
  <c r="H17" i="20"/>
  <c r="E5" i="14"/>
  <c r="B7" i="14"/>
  <c r="C7"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F16" i="13"/>
  <c r="F15" i="13"/>
  <c r="F12" i="13"/>
  <c r="F11" i="13"/>
  <c r="G9" i="12"/>
  <c r="F9" i="12" s="1"/>
  <c r="K53" i="40" l="1"/>
  <c r="K98" i="40" s="1"/>
  <c r="L56" i="40"/>
  <c r="L53" i="40" s="1"/>
  <c r="L98" i="40" s="1"/>
  <c r="L64" i="40"/>
  <c r="H18" i="20"/>
  <c r="H19" i="20" s="1"/>
  <c r="M75" i="40"/>
  <c r="M81" i="40" s="1"/>
  <c r="M64" i="40"/>
  <c r="D5" i="1"/>
  <c r="C24" i="32"/>
  <c r="C10" i="32" s="1"/>
  <c r="H24" i="32"/>
  <c r="E10" i="32"/>
  <c r="G24" i="32"/>
  <c r="G10" i="32" s="1"/>
  <c r="F24" i="32"/>
  <c r="F10" i="32" s="1"/>
  <c r="D24" i="32"/>
  <c r="D10" i="32" s="1"/>
  <c r="I19" i="20"/>
  <c r="H50" i="32"/>
  <c r="H15" i="32"/>
  <c r="H16" i="32" s="1"/>
  <c r="G44" i="32"/>
  <c r="G32" i="32"/>
  <c r="R7" i="12"/>
  <c r="E20" i="12"/>
  <c r="R8" i="12"/>
  <c r="C26" i="1" l="1"/>
  <c r="K104" i="40"/>
  <c r="L104" i="40"/>
  <c r="M56" i="40"/>
  <c r="M53" i="40" s="1"/>
  <c r="N47" i="40"/>
  <c r="N23" i="40"/>
  <c r="D39" i="32"/>
  <c r="D40" i="32" s="1"/>
  <c r="D41" i="32" s="1"/>
  <c r="D42" i="32" s="1"/>
  <c r="D25" i="32"/>
  <c r="D47" i="32" s="1"/>
  <c r="D49" i="32" s="1"/>
  <c r="D51" i="32" s="1"/>
  <c r="D45" i="32"/>
  <c r="F39" i="32"/>
  <c r="F40" i="32" s="1"/>
  <c r="F41" i="32" s="1"/>
  <c r="F42" i="32" s="1"/>
  <c r="F25" i="32"/>
  <c r="F47" i="32" s="1"/>
  <c r="F49" i="32" s="1"/>
  <c r="F51" i="32" s="1"/>
  <c r="F45" i="32"/>
  <c r="G25" i="32"/>
  <c r="G47" i="32" s="1"/>
  <c r="G49" i="32" s="1"/>
  <c r="G51" i="32" s="1"/>
  <c r="G39" i="32"/>
  <c r="G40" i="32" s="1"/>
  <c r="G41" i="32" s="1"/>
  <c r="G42" i="32" s="1"/>
  <c r="E25" i="32"/>
  <c r="E47" i="32" s="1"/>
  <c r="E49" i="32" s="1"/>
  <c r="E51" i="32" s="1"/>
  <c r="E41" i="32"/>
  <c r="E42" i="32" s="1"/>
  <c r="E45" i="32"/>
  <c r="C39" i="32"/>
  <c r="C40" i="32" s="1"/>
  <c r="C41" i="32" s="1"/>
  <c r="C42" i="32" s="1"/>
  <c r="C25" i="32"/>
  <c r="C47" i="32" s="1"/>
  <c r="C49" i="32" s="1"/>
  <c r="C51" i="32" s="1"/>
  <c r="C45" i="32"/>
  <c r="G45" i="32"/>
  <c r="H32" i="32"/>
  <c r="H44" i="32"/>
  <c r="H45" i="32"/>
  <c r="R9" i="12"/>
  <c r="E5" i="1"/>
  <c r="E7" i="1" s="1"/>
  <c r="D22" i="28" s="1"/>
  <c r="M98" i="40" l="1"/>
  <c r="M104" i="40"/>
  <c r="N56" i="40"/>
  <c r="N64" i="40"/>
  <c r="C18" i="8"/>
  <c r="D7" i="1"/>
  <c r="C11" i="1"/>
  <c r="J61" i="12"/>
  <c r="I61" i="12"/>
  <c r="D62" i="12"/>
  <c r="C62" i="12"/>
  <c r="N39" i="12"/>
  <c r="M39" i="12"/>
  <c r="L38" i="12"/>
  <c r="L40" i="12" s="1"/>
  <c r="K38" i="12"/>
  <c r="K40" i="12" s="1"/>
  <c r="J38" i="12"/>
  <c r="J40" i="12" s="1"/>
  <c r="I38" i="12"/>
  <c r="I40" i="12" s="1"/>
  <c r="N37" i="12"/>
  <c r="M37" i="12"/>
  <c r="N35" i="12"/>
  <c r="M35" i="12"/>
  <c r="N34" i="12"/>
  <c r="M34" i="12"/>
  <c r="N33" i="12"/>
  <c r="M33" i="12"/>
  <c r="X28" i="12"/>
  <c r="N30" i="12"/>
  <c r="W23" i="12"/>
  <c r="V23" i="12"/>
  <c r="Z23" i="12" s="1"/>
  <c r="U23" i="12"/>
  <c r="T23" i="12"/>
  <c r="W3" i="12"/>
  <c r="V3" i="12"/>
  <c r="U8" i="12" s="1"/>
  <c r="U3" i="12"/>
  <c r="T3" i="12"/>
  <c r="O56" i="40" l="1"/>
  <c r="O53" i="40" s="1"/>
  <c r="N53" i="40"/>
  <c r="D21" i="12"/>
  <c r="N38" i="12"/>
  <c r="N40" i="12" s="1"/>
  <c r="M38" i="12"/>
  <c r="M40" i="12" s="1"/>
  <c r="W8" i="12"/>
  <c r="X8" i="12" s="1"/>
  <c r="U9" i="12"/>
  <c r="Z3" i="12"/>
  <c r="Y3" i="12"/>
  <c r="X3" i="12"/>
  <c r="U7" i="12"/>
  <c r="W7" i="12" s="1"/>
  <c r="X23" i="12"/>
  <c r="U28" i="12"/>
  <c r="U29" i="12" s="1"/>
  <c r="Y23" i="12"/>
  <c r="I63" i="12"/>
  <c r="I64" i="12" s="1"/>
  <c r="J63" i="12"/>
  <c r="J64" i="12" s="1"/>
  <c r="N98" i="40" l="1"/>
  <c r="N104" i="40"/>
  <c r="O98" i="40"/>
  <c r="O104" i="40"/>
  <c r="F20" i="12"/>
  <c r="G20" i="12" s="1"/>
  <c r="F19" i="12"/>
  <c r="G19" i="12" s="1"/>
  <c r="V17" i="12"/>
  <c r="V18" i="12" s="1"/>
  <c r="X19" i="12" s="1"/>
  <c r="U10" i="12"/>
  <c r="W9" i="12"/>
  <c r="X9" i="12" s="1"/>
  <c r="W29" i="12"/>
  <c r="U30" i="12"/>
  <c r="F21" i="12" l="1"/>
  <c r="G21" i="12"/>
  <c r="U11" i="12"/>
  <c r="W10" i="12"/>
  <c r="X10" i="12" s="1"/>
  <c r="U31" i="12"/>
  <c r="W30" i="12"/>
  <c r="X30" i="12" s="1"/>
  <c r="X29" i="12"/>
  <c r="F14" i="12" l="1"/>
  <c r="H20" i="32" s="1"/>
  <c r="H23" i="32" s="1"/>
  <c r="H10" i="32" s="1"/>
  <c r="E39" i="28"/>
  <c r="W11" i="12"/>
  <c r="X11" i="12" s="1"/>
  <c r="U12" i="12"/>
  <c r="U32" i="12"/>
  <c r="W31" i="12"/>
  <c r="X31" i="12" s="1"/>
  <c r="Y31" i="12" s="1"/>
  <c r="H39" i="32" l="1"/>
  <c r="H40" i="32" s="1"/>
  <c r="H41" i="32" s="1"/>
  <c r="H42" i="32" s="1"/>
  <c r="H25" i="32"/>
  <c r="H47" i="32" s="1"/>
  <c r="C12" i="8"/>
  <c r="U13" i="12"/>
  <c r="W12" i="12"/>
  <c r="X12" i="12" s="1"/>
  <c r="Y12" i="12" s="1"/>
  <c r="W32" i="12"/>
  <c r="U33" i="12"/>
  <c r="U14" i="12" l="1"/>
  <c r="W13" i="12"/>
  <c r="X13" i="12" s="1"/>
  <c r="Y13" i="12" s="1"/>
  <c r="U34" i="12"/>
  <c r="W33" i="12"/>
  <c r="X33" i="12" s="1"/>
  <c r="Y33" i="12" s="1"/>
  <c r="X32" i="12"/>
  <c r="W14" i="12" l="1"/>
  <c r="X14" i="12" s="1"/>
  <c r="Y14" i="12" s="1"/>
  <c r="U15" i="12"/>
  <c r="Y32" i="12"/>
  <c r="W34" i="12"/>
  <c r="U35" i="12"/>
  <c r="U16" i="12" l="1"/>
  <c r="W15" i="12"/>
  <c r="X15" i="12" s="1"/>
  <c r="Y15" i="12" s="1"/>
  <c r="X34" i="12"/>
  <c r="Y34" i="12" s="1"/>
  <c r="U36" i="12"/>
  <c r="W35" i="12"/>
  <c r="X35" i="12" s="1"/>
  <c r="Y35" i="12" s="1"/>
  <c r="U17" i="12" l="1"/>
  <c r="W17" i="12" s="1"/>
  <c r="X17" i="12" s="1"/>
  <c r="Y17" i="12" s="1"/>
  <c r="W16" i="12"/>
  <c r="U37" i="12"/>
  <c r="W36" i="12"/>
  <c r="X36" i="12" s="1"/>
  <c r="Y36" i="12" s="1"/>
  <c r="X16" i="12" l="1"/>
  <c r="W18" i="12"/>
  <c r="U38" i="12"/>
  <c r="V38" i="12" s="1"/>
  <c r="W37" i="12"/>
  <c r="X37" i="12" s="1"/>
  <c r="Y37" i="12" s="1"/>
  <c r="Y16" i="12" l="1"/>
  <c r="X18" i="12"/>
  <c r="X24" i="12" s="1"/>
  <c r="W38" i="12"/>
  <c r="W39" i="12" s="1"/>
  <c r="Y18" i="12" l="1"/>
  <c r="X38" i="12"/>
  <c r="V39" i="12"/>
  <c r="Y24" i="12" l="1"/>
  <c r="Z18" i="12"/>
  <c r="Z24" i="12" s="1"/>
  <c r="Y38" i="12"/>
  <c r="Y39" i="12" s="1"/>
  <c r="Z39" i="12" s="1"/>
  <c r="X39" i="12"/>
  <c r="Y41" i="12" l="1"/>
  <c r="C10" i="1" l="1"/>
  <c r="C12" i="1" s="1"/>
  <c r="C5" i="8"/>
  <c r="C19" i="8" l="1"/>
  <c r="C20" i="8"/>
  <c r="F15" i="7"/>
  <c r="F14" i="7"/>
  <c r="F13" i="7"/>
  <c r="C14" i="1"/>
  <c r="C15" i="1" s="1"/>
  <c r="C19" i="1" s="1"/>
  <c r="Q46" i="2"/>
  <c r="P46" i="2"/>
  <c r="E51" i="40" s="1"/>
  <c r="E49" i="40" s="1"/>
  <c r="E59" i="40" s="1"/>
  <c r="O46" i="2"/>
  <c r="F51" i="40" s="1"/>
  <c r="F49" i="40" s="1"/>
  <c r="F59" i="40" s="1"/>
  <c r="N46" i="2"/>
  <c r="G51" i="40" s="1"/>
  <c r="G49" i="40" s="1"/>
  <c r="G59" i="40" s="1"/>
  <c r="M46" i="2"/>
  <c r="H51" i="40" s="1"/>
  <c r="H49" i="40" s="1"/>
  <c r="H59" i="40" s="1"/>
  <c r="L46" i="2"/>
  <c r="I51" i="40" s="1"/>
  <c r="I49" i="40" s="1"/>
  <c r="I59" i="40" s="1"/>
  <c r="Q38" i="2"/>
  <c r="I88" i="17" s="1"/>
  <c r="P38" i="2"/>
  <c r="H88" i="17" s="1"/>
  <c r="O38" i="2"/>
  <c r="G88" i="17" s="1"/>
  <c r="N38" i="2"/>
  <c r="F88" i="17" s="1"/>
  <c r="M38" i="2"/>
  <c r="E88" i="17" s="1"/>
  <c r="L38" i="2"/>
  <c r="D88" i="17" s="1"/>
  <c r="Q26" i="2"/>
  <c r="P26" i="2"/>
  <c r="E42" i="40" s="1"/>
  <c r="E40" i="40" s="1"/>
  <c r="E103" i="40" s="1"/>
  <c r="O26" i="2"/>
  <c r="F42" i="40" s="1"/>
  <c r="F40" i="40" s="1"/>
  <c r="F103" i="40" s="1"/>
  <c r="N26" i="2"/>
  <c r="G42" i="40" s="1"/>
  <c r="G40" i="40" s="1"/>
  <c r="G103" i="40" s="1"/>
  <c r="M26" i="2"/>
  <c r="H42" i="40" s="1"/>
  <c r="H40" i="40" s="1"/>
  <c r="H103" i="40" s="1"/>
  <c r="L26" i="2"/>
  <c r="I42" i="40" s="1"/>
  <c r="I40" i="40" s="1"/>
  <c r="I103" i="40" s="1"/>
  <c r="Q14" i="2"/>
  <c r="I86" i="17" s="1"/>
  <c r="P14" i="2"/>
  <c r="H86" i="17" s="1"/>
  <c r="O14" i="2"/>
  <c r="G86" i="17" s="1"/>
  <c r="N14" i="2"/>
  <c r="F86" i="17" s="1"/>
  <c r="M14" i="2"/>
  <c r="L14" i="2"/>
  <c r="D86" i="17" s="1"/>
  <c r="D100" i="17" s="1"/>
  <c r="C34" i="1"/>
  <c r="F100" i="17" l="1"/>
  <c r="G100" i="17"/>
  <c r="H100" i="17"/>
  <c r="I100" i="17"/>
  <c r="C31" i="1"/>
  <c r="C28" i="1"/>
  <c r="G99" i="17"/>
  <c r="Q27" i="2"/>
  <c r="I87" i="17" s="1"/>
  <c r="I113" i="17" s="1"/>
  <c r="E28" i="28" s="1"/>
  <c r="M27" i="2"/>
  <c r="E87" i="17" s="1"/>
  <c r="E113" i="17" s="1"/>
  <c r="I28" i="28" s="1"/>
  <c r="N27" i="2"/>
  <c r="F87" i="17" s="1"/>
  <c r="F113" i="17" s="1"/>
  <c r="H28" i="28" s="1"/>
  <c r="L27" i="2"/>
  <c r="D87" i="17" s="1"/>
  <c r="D113" i="17" s="1"/>
  <c r="J28" i="28" s="1"/>
  <c r="O27" i="2"/>
  <c r="G87" i="17" s="1"/>
  <c r="G113" i="17" s="1"/>
  <c r="G28" i="28" s="1"/>
  <c r="P27" i="2"/>
  <c r="H87" i="17" s="1"/>
  <c r="H113" i="17" s="1"/>
  <c r="F28" i="28" s="1"/>
  <c r="I99" i="17"/>
  <c r="D99" i="17"/>
  <c r="H99" i="17"/>
  <c r="E86" i="17"/>
  <c r="E100" i="17" s="1"/>
  <c r="F99" i="17"/>
  <c r="P47" i="2"/>
  <c r="N47" i="2"/>
  <c r="M47" i="2"/>
  <c r="L47" i="2"/>
  <c r="D110" i="7"/>
  <c r="O47" i="2"/>
  <c r="Q47" i="2"/>
  <c r="D112" i="7"/>
  <c r="D115" i="7"/>
  <c r="E112" i="7"/>
  <c r="E115" i="7"/>
  <c r="C110" i="7"/>
  <c r="C112" i="7"/>
  <c r="D111" i="7"/>
  <c r="E110" i="7"/>
  <c r="I112" i="7"/>
  <c r="C111" i="7"/>
  <c r="E111" i="7"/>
  <c r="C29" i="1" l="1"/>
  <c r="C32" i="1" s="1"/>
  <c r="C6" i="8"/>
  <c r="E99" i="17"/>
  <c r="Q58" i="2"/>
  <c r="Q59" i="2" s="1"/>
  <c r="I89" i="17"/>
  <c r="L58" i="2"/>
  <c r="L59" i="2" s="1"/>
  <c r="D89" i="17"/>
  <c r="O58" i="2"/>
  <c r="O59" i="2" s="1"/>
  <c r="G89" i="17"/>
  <c r="M58" i="2"/>
  <c r="M59" i="2" s="1"/>
  <c r="E89" i="17"/>
  <c r="N58" i="2"/>
  <c r="N59" i="2" s="1"/>
  <c r="F89" i="17"/>
  <c r="P58" i="2"/>
  <c r="P59" i="2" s="1"/>
  <c r="H89" i="17"/>
  <c r="G110" i="7"/>
  <c r="D116" i="7"/>
  <c r="D117" i="7"/>
  <c r="J111" i="7"/>
  <c r="E116" i="7"/>
  <c r="I111" i="7"/>
  <c r="I110" i="7"/>
  <c r="H110" i="7"/>
  <c r="E117" i="7"/>
  <c r="G112" i="7"/>
  <c r="H112" i="7"/>
  <c r="J112" i="7"/>
  <c r="J110" i="7"/>
  <c r="H111" i="7"/>
  <c r="G111" i="7"/>
  <c r="C9" i="8" l="1"/>
  <c r="C10" i="8" s="1"/>
  <c r="C117" i="7"/>
  <c r="C115" i="7"/>
  <c r="C116" i="7"/>
  <c r="F16" i="7"/>
  <c r="G116" i="7" l="1"/>
  <c r="H116" i="7"/>
  <c r="H115" i="7"/>
  <c r="C20" i="1" s="1"/>
  <c r="C23" i="1" s="1"/>
  <c r="G115" i="7"/>
  <c r="H117" i="7"/>
  <c r="G117" i="7"/>
  <c r="H21" i="32" l="1"/>
  <c r="H49" i="32" s="1"/>
  <c r="H51" i="32" s="1"/>
  <c r="C33" i="1"/>
  <c r="C36" i="1" s="1"/>
  <c r="E40" i="28" l="1"/>
  <c r="C21" i="8"/>
  <c r="C23" i="8" s="1"/>
  <c r="C13" i="8"/>
  <c r="C14" i="8" s="1"/>
  <c r="E41" i="28" l="1"/>
  <c r="P35" i="19"/>
  <c r="Q35" i="19"/>
  <c r="P37" i="19" l="1"/>
  <c r="Q37" i="19"/>
  <c r="R37" i="19"/>
  <c r="N37" i="19" l="1"/>
  <c r="N14" i="19"/>
  <c r="K37" i="40" l="1"/>
  <c r="N16" i="19"/>
  <c r="N18" i="19"/>
  <c r="O14" i="19"/>
  <c r="L37" i="40" s="1"/>
  <c r="N49" i="19"/>
  <c r="N51" i="19" s="1"/>
  <c r="O35" i="19"/>
  <c r="O37" i="19" s="1"/>
  <c r="N15" i="19" l="1"/>
  <c r="N53" i="19" s="1"/>
  <c r="N55" i="19" s="1"/>
  <c r="O16" i="19"/>
  <c r="O18" i="19"/>
  <c r="O49" i="19"/>
  <c r="O51" i="19" s="1"/>
  <c r="P14" i="19"/>
  <c r="M37" i="40" s="1"/>
  <c r="O15" i="19" l="1"/>
  <c r="L45" i="40" s="1"/>
  <c r="L44" i="40" s="1"/>
  <c r="L59" i="40" s="1"/>
  <c r="K45" i="40"/>
  <c r="P16" i="19"/>
  <c r="P18" i="19"/>
  <c r="Q14" i="19"/>
  <c r="N37" i="40" s="1"/>
  <c r="P49" i="19"/>
  <c r="P51" i="19" s="1"/>
  <c r="K44" i="40" l="1"/>
  <c r="K59" i="40" s="1"/>
  <c r="P15" i="19"/>
  <c r="M45" i="40" s="1"/>
  <c r="M44" i="40" s="1"/>
  <c r="M59" i="40" s="1"/>
  <c r="O53" i="19"/>
  <c r="O55" i="19" s="1"/>
  <c r="Q16" i="19"/>
  <c r="Q18" i="19"/>
  <c r="R14" i="19"/>
  <c r="O37" i="40" s="1"/>
  <c r="Q49" i="19"/>
  <c r="Q51" i="19" s="1"/>
  <c r="Q15" i="19" l="1"/>
  <c r="N45" i="40" s="1"/>
  <c r="N44" i="40" s="1"/>
  <c r="N59" i="40" s="1"/>
  <c r="P53" i="19"/>
  <c r="P55" i="19" s="1"/>
  <c r="R16" i="19"/>
  <c r="R18" i="19"/>
  <c r="R49" i="19"/>
  <c r="R51" i="19" s="1"/>
  <c r="R15" i="19" l="1"/>
  <c r="R53" i="19" s="1"/>
  <c r="R55" i="19" s="1"/>
  <c r="Q53" i="19"/>
  <c r="Q55" i="19" s="1"/>
  <c r="S51" i="19"/>
  <c r="S55" i="19" l="1"/>
  <c r="M66" i="19" s="1"/>
  <c r="O45" i="40"/>
  <c r="O44" i="40" s="1"/>
  <c r="O59" i="40" s="1"/>
  <c r="B6" i="19"/>
  <c r="M65" i="19"/>
  <c r="B7" i="19" l="1"/>
  <c r="O47" i="19"/>
  <c r="O57" i="19" s="1"/>
  <c r="O59" i="19" s="1"/>
  <c r="Q47" i="19"/>
  <c r="Q57" i="19" s="1"/>
  <c r="Q59" i="19" s="1"/>
  <c r="R47" i="19"/>
  <c r="R57" i="19" s="1"/>
  <c r="R59" i="19" s="1"/>
  <c r="P47" i="19"/>
  <c r="P57" i="19" s="1"/>
  <c r="P59" i="19" s="1"/>
  <c r="K36" i="40"/>
  <c r="K92" i="40" s="1"/>
  <c r="N47" i="19"/>
  <c r="N57" i="19" s="1"/>
  <c r="N59" i="19" s="1"/>
  <c r="O13" i="19"/>
  <c r="S47" i="19" l="1"/>
  <c r="B5" i="19" s="1"/>
  <c r="L36" i="40"/>
  <c r="L92" i="40" s="1"/>
  <c r="O61" i="19"/>
  <c r="P13" i="19"/>
  <c r="O45" i="19"/>
  <c r="O38" i="19"/>
  <c r="N61" i="19"/>
  <c r="N38" i="19"/>
  <c r="N41" i="19" s="1"/>
  <c r="N45" i="19"/>
  <c r="M64" i="19" l="1"/>
  <c r="D29" i="21"/>
  <c r="E21" i="20" s="1"/>
  <c r="K67" i="40"/>
  <c r="K68" i="40" s="1"/>
  <c r="K83" i="40" s="1"/>
  <c r="K34" i="40" s="1"/>
  <c r="K33" i="40" s="1"/>
  <c r="O41" i="19"/>
  <c r="O62" i="19"/>
  <c r="N62" i="19"/>
  <c r="P45" i="19"/>
  <c r="Q13" i="19"/>
  <c r="P38" i="19"/>
  <c r="P41" i="19" s="1"/>
  <c r="P61" i="19"/>
  <c r="M36" i="40"/>
  <c r="M92" i="40" s="1"/>
  <c r="E23" i="20" l="1"/>
  <c r="P62" i="19"/>
  <c r="F29" i="21"/>
  <c r="G21" i="20" s="1"/>
  <c r="M67" i="40"/>
  <c r="M68" i="40" s="1"/>
  <c r="M83" i="40" s="1"/>
  <c r="Q38" i="19"/>
  <c r="Q41" i="19" s="1"/>
  <c r="R13" i="19"/>
  <c r="N36" i="40"/>
  <c r="N92" i="40" s="1"/>
  <c r="Q61" i="19"/>
  <c r="Q45" i="19"/>
  <c r="L67" i="40"/>
  <c r="L68" i="40" s="1"/>
  <c r="L83" i="40" s="1"/>
  <c r="L34" i="40" s="1"/>
  <c r="L33" i="40" s="1"/>
  <c r="E29" i="21"/>
  <c r="F21" i="20" s="1"/>
  <c r="G23" i="20" l="1"/>
  <c r="F23" i="20"/>
  <c r="Q62" i="19"/>
  <c r="M34" i="40"/>
  <c r="R61" i="19"/>
  <c r="R38" i="19"/>
  <c r="R41" i="19" s="1"/>
  <c r="R45" i="19"/>
  <c r="O36" i="40"/>
  <c r="O92" i="40" s="1"/>
  <c r="G29" i="21"/>
  <c r="H21" i="20" s="1"/>
  <c r="N67" i="40"/>
  <c r="N68" i="40" s="1"/>
  <c r="N83" i="40" s="1"/>
  <c r="K89" i="40"/>
  <c r="K61" i="40"/>
  <c r="K90" i="40"/>
  <c r="K103" i="40"/>
  <c r="H23" i="20" l="1"/>
  <c r="R62" i="19"/>
  <c r="H29" i="21"/>
  <c r="I21" i="20" s="1"/>
  <c r="I23" i="20" s="1"/>
  <c r="O67" i="40"/>
  <c r="O68" i="40" s="1"/>
  <c r="O83" i="40" s="1"/>
  <c r="L90" i="40"/>
  <c r="L103" i="40"/>
  <c r="L89" i="40"/>
  <c r="L61" i="40"/>
  <c r="M33" i="40"/>
  <c r="N34" i="40"/>
  <c r="I24" i="20" l="1"/>
  <c r="L23" i="20" s="1"/>
  <c r="O34" i="40"/>
  <c r="O33" i="40" s="1"/>
  <c r="N33" i="40"/>
  <c r="M89" i="40"/>
  <c r="M103" i="40"/>
  <c r="M61" i="40"/>
  <c r="M90" i="40"/>
  <c r="C5" i="39" l="1"/>
  <c r="D28" i="20"/>
  <c r="N61" i="40"/>
  <c r="N89" i="40"/>
  <c r="N103" i="40"/>
  <c r="N90" i="40"/>
  <c r="O61" i="40"/>
  <c r="O90" i="40"/>
  <c r="O103" i="40"/>
  <c r="O89" i="40"/>
  <c r="D29" i="20" l="1"/>
  <c r="D32" i="20" s="1"/>
  <c r="D37" i="20" s="1"/>
  <c r="I35" i="20" s="1"/>
  <c r="I36" i="20" s="1"/>
  <c r="L33" i="20" s="1"/>
  <c r="C4" i="39"/>
  <c r="C9" i="39" s="1"/>
  <c r="C11" i="39" l="1"/>
  <c r="L32" i="20"/>
  <c r="L30" i="20" s="1"/>
  <c r="G40" i="28"/>
  <c r="J48" i="20"/>
  <c r="E63" i="37"/>
  <c r="D40" i="20"/>
  <c r="O33" i="20"/>
  <c r="L31" i="20" l="1"/>
  <c r="O32" i="20"/>
  <c r="L29" i="20"/>
  <c r="G39" i="28"/>
  <c r="L34" i="20"/>
  <c r="L35" i="20"/>
</calcChain>
</file>

<file path=xl/comments1.xml><?xml version="1.0" encoding="utf-8"?>
<comments xmlns="http://schemas.openxmlformats.org/spreadsheetml/2006/main">
  <authors>
    <author>Jorge Armando Enriquez Almonte</author>
  </authors>
  <commentList>
    <comment ref="B8" authorId="0" shapeId="0">
      <text>
        <r>
          <rPr>
            <b/>
            <sz val="9"/>
            <color indexed="81"/>
            <rFont val="Tahoma"/>
            <family val="2"/>
          </rPr>
          <t>Aquarius y frugos</t>
        </r>
      </text>
    </comment>
    <comment ref="AA8" authorId="0" shapeId="0">
      <text>
        <r>
          <rPr>
            <b/>
            <sz val="9"/>
            <color indexed="81"/>
            <rFont val="Tahoma"/>
            <family val="2"/>
          </rPr>
          <t>Aquarius y frugos</t>
        </r>
      </text>
    </comment>
    <comment ref="AZ8" authorId="0" shapeId="0">
      <text>
        <r>
          <rPr>
            <b/>
            <sz val="9"/>
            <color indexed="81"/>
            <rFont val="Tahoma"/>
            <family val="2"/>
          </rPr>
          <t>Aquarius y frugos</t>
        </r>
      </text>
    </comment>
    <comment ref="B9" authorId="0" shapeId="0">
      <text>
        <r>
          <rPr>
            <b/>
            <sz val="9"/>
            <color indexed="81"/>
            <rFont val="Tahoma"/>
            <family val="2"/>
          </rPr>
          <t>Hidratante: powerade y energizante: Burn</t>
        </r>
      </text>
    </comment>
    <comment ref="AA9" authorId="0" shapeId="0">
      <text>
        <r>
          <rPr>
            <b/>
            <sz val="9"/>
            <color indexed="81"/>
            <rFont val="Tahoma"/>
            <family val="2"/>
          </rPr>
          <t>Hidratante: powerade y energizante: Burn</t>
        </r>
      </text>
    </comment>
    <comment ref="AZ9" authorId="0" shapeId="0">
      <text>
        <r>
          <rPr>
            <b/>
            <sz val="9"/>
            <color indexed="81"/>
            <rFont val="Tahoma"/>
            <family val="2"/>
          </rPr>
          <t>Hidratante: powerade y energizante: Burn</t>
        </r>
      </text>
    </comment>
  </commentList>
</comments>
</file>

<file path=xl/comments2.xml><?xml version="1.0" encoding="utf-8"?>
<comments xmlns="http://schemas.openxmlformats.org/spreadsheetml/2006/main">
  <authors>
    <author>Jorge Armando Enriquez Almonte</author>
  </authors>
  <commentList>
    <comment ref="B7" authorId="0" shapeId="0">
      <text>
        <r>
          <rPr>
            <b/>
            <sz val="9"/>
            <color indexed="81"/>
            <rFont val="Tahoma"/>
            <family val="2"/>
          </rPr>
          <t>Aquarius y frugos</t>
        </r>
      </text>
    </comment>
    <comment ref="B8" authorId="0" shapeId="0">
      <text>
        <r>
          <rPr>
            <b/>
            <sz val="9"/>
            <color indexed="81"/>
            <rFont val="Tahoma"/>
            <family val="2"/>
          </rPr>
          <t>Hidratante: powerade y energizante: Burn</t>
        </r>
      </text>
    </comment>
  </commentList>
</comments>
</file>

<file path=xl/comments3.xml><?xml version="1.0" encoding="utf-8"?>
<comments xmlns="http://schemas.openxmlformats.org/spreadsheetml/2006/main">
  <authors>
    <author>Aswath Damodaran</author>
  </authors>
  <commentList>
    <comment ref="D10" authorId="0" shapeId="0">
      <text>
        <r>
          <rPr>
            <b/>
            <sz val="9"/>
            <color indexed="81"/>
            <rFont val="Geneva"/>
          </rPr>
          <t>Aswath Damodaran:</t>
        </r>
        <r>
          <rPr>
            <sz val="9"/>
            <color indexed="81"/>
            <rFont val="Geneva"/>
          </rPr>
          <t xml:space="preserve">
ST: Short term (Treasury bill)
LT: Long term (Treasury bond)</t>
        </r>
      </text>
    </comment>
    <comment ref="D11" authorId="0" shapeId="0">
      <text>
        <r>
          <rPr>
            <b/>
            <sz val="9"/>
            <color indexed="81"/>
            <rFont val="Geneva"/>
          </rPr>
          <t>Aswath Damodaran:</t>
        </r>
        <r>
          <rPr>
            <sz val="9"/>
            <color indexed="81"/>
            <rFont val="Geneva"/>
          </rPr>
          <t xml:space="preserve">
The risk premium will be computed from this year to the current year.</t>
        </r>
      </text>
    </comment>
  </commentList>
</comments>
</file>

<file path=xl/comments4.xml><?xml version="1.0" encoding="utf-8"?>
<comments xmlns="http://schemas.openxmlformats.org/spreadsheetml/2006/main">
  <authors>
    <author>1440</author>
  </authors>
  <commentList>
    <comment ref="J31" authorId="0" shapeId="0">
      <text>
        <r>
          <rPr>
            <sz val="8"/>
            <color indexed="81"/>
            <rFont val="Tahoma"/>
            <family val="2"/>
          </rPr>
          <t xml:space="preserve">Cambio de B a R.
</t>
        </r>
      </text>
    </comment>
    <comment ref="D34" authorId="0" shapeId="0">
      <text>
        <r>
          <rPr>
            <sz val="8"/>
            <color indexed="81"/>
            <rFont val="Tahoma"/>
            <family val="2"/>
          </rPr>
          <t xml:space="preserve">Cambio de B a R.
</t>
        </r>
      </text>
    </comment>
    <comment ref="M34" authorId="0" shapeId="0">
      <text>
        <r>
          <rPr>
            <sz val="8"/>
            <color indexed="81"/>
            <rFont val="Tahoma"/>
            <family val="2"/>
          </rPr>
          <t xml:space="preserve">Cambio de B a R.
</t>
        </r>
      </text>
    </comment>
    <comment ref="M65" authorId="0" shapeId="0">
      <text>
        <r>
          <rPr>
            <sz val="8"/>
            <color indexed="81"/>
            <rFont val="Tahoma"/>
            <family val="2"/>
          </rPr>
          <t xml:space="preserve">Cambio de B-R a R. Son iguales.
</t>
        </r>
      </text>
    </comment>
  </commentList>
</comments>
</file>

<file path=xl/comments5.xml><?xml version="1.0" encoding="utf-8"?>
<comments xmlns="http://schemas.openxmlformats.org/spreadsheetml/2006/main">
  <authors>
    <author>Aswath Damodaran</author>
  </authors>
  <commentList>
    <comment ref="E5" authorId="0" shapeId="0">
      <text>
        <r>
          <rPr>
            <b/>
            <sz val="10"/>
            <color indexed="81"/>
            <rFont val="Calibri"/>
            <family val="2"/>
          </rPr>
          <t>Aswath Damodaran:</t>
        </r>
        <r>
          <rPr>
            <sz val="10"/>
            <color indexed="81"/>
            <rFont val="Calibri"/>
            <family val="2"/>
          </rPr>
          <t xml:space="preserve">
See worksheet on relative equity market volatility.</t>
        </r>
      </text>
    </comment>
  </commentList>
</comments>
</file>

<file path=xl/comments6.xml><?xml version="1.0" encoding="utf-8"?>
<comments xmlns="http://schemas.openxmlformats.org/spreadsheetml/2006/main">
  <authors>
    <author>ERIC</author>
  </authors>
  <commentList>
    <comment ref="B35" authorId="0" shapeId="0">
      <text>
        <r>
          <rPr>
            <b/>
            <sz val="9"/>
            <color indexed="81"/>
            <rFont val="Tahoma"/>
            <family val="2"/>
          </rPr>
          <t>Inicialmente la empresa no tiene deuda y que para pasar a un determinado nivel de apalancamiento, la empresa emite deuda y compra acciones con los ingresos procedentes de la emisión de deuda.</t>
        </r>
      </text>
    </comment>
  </commentList>
</comments>
</file>

<file path=xl/comments7.xml><?xml version="1.0" encoding="utf-8"?>
<comments xmlns="http://schemas.openxmlformats.org/spreadsheetml/2006/main">
  <authors>
    <author>Eric</author>
  </authors>
  <commentList>
    <comment ref="G24" authorId="0" shapeId="0">
      <text>
        <r>
          <rPr>
            <b/>
            <sz val="9"/>
            <color indexed="81"/>
            <rFont val="Tahoma"/>
            <family val="2"/>
          </rPr>
          <t>El clima en el 2013 fue un factor negativo para la industria de bebidas que tiene una importante correlación con las ventas. En Lima, la temperatura media anual fue de 19.2 °C, -1.1°C inferior al 2012 y fue la menor temperatura en promedio de los últimos años. Igual ocurrio en provincias</t>
        </r>
      </text>
    </comment>
  </commentList>
</comments>
</file>

<file path=xl/comments8.xml><?xml version="1.0" encoding="utf-8"?>
<comments xmlns="http://schemas.openxmlformats.org/spreadsheetml/2006/main">
  <authors>
    <author>Usuario de Windows</author>
    <author>Jorge Armando Enriquez Almonte</author>
  </authors>
  <commentList>
    <comment ref="B9" authorId="0" shapeId="0">
      <text>
        <r>
          <rPr>
            <b/>
            <sz val="9"/>
            <color indexed="81"/>
            <rFont val="Tahoma"/>
            <family val="2"/>
          </rPr>
          <t>Usuario de Windows:</t>
        </r>
        <r>
          <rPr>
            <sz val="9"/>
            <color indexed="81"/>
            <rFont val="Tahoma"/>
            <family val="2"/>
          </rPr>
          <t xml:space="preserve">
Incluye energizantes</t>
        </r>
      </text>
    </comment>
    <comment ref="B27" authorId="1" shapeId="0">
      <text>
        <r>
          <rPr>
            <b/>
            <sz val="9"/>
            <color indexed="81"/>
            <rFont val="Tahoma"/>
            <family val="2"/>
          </rPr>
          <t>Aquarius y frugos</t>
        </r>
      </text>
    </comment>
    <comment ref="B28" authorId="1" shapeId="0">
      <text>
        <r>
          <rPr>
            <b/>
            <sz val="9"/>
            <color indexed="81"/>
            <rFont val="Tahoma"/>
            <family val="2"/>
          </rPr>
          <t>Hidratante: powerade y energizante: Burn</t>
        </r>
      </text>
    </comment>
    <comment ref="B39" authorId="1" shapeId="0">
      <text>
        <r>
          <rPr>
            <b/>
            <sz val="9"/>
            <color indexed="81"/>
            <rFont val="Tahoma"/>
            <family val="2"/>
          </rPr>
          <t>Aquarius y frugos</t>
        </r>
      </text>
    </comment>
    <comment ref="B40" authorId="1" shapeId="0">
      <text>
        <r>
          <rPr>
            <b/>
            <sz val="9"/>
            <color indexed="81"/>
            <rFont val="Tahoma"/>
            <family val="2"/>
          </rPr>
          <t>Hidratante: powerade y energizante: Burn</t>
        </r>
      </text>
    </comment>
    <comment ref="B47" authorId="1" shapeId="0">
      <text>
        <r>
          <rPr>
            <b/>
            <sz val="9"/>
            <color indexed="81"/>
            <rFont val="Tahoma"/>
            <family val="2"/>
          </rPr>
          <t>Aquarius y frugos</t>
        </r>
      </text>
    </comment>
    <comment ref="B48" authorId="1" shapeId="0">
      <text>
        <r>
          <rPr>
            <b/>
            <sz val="9"/>
            <color indexed="81"/>
            <rFont val="Tahoma"/>
            <family val="2"/>
          </rPr>
          <t>Hidratante: powerade y energizante: Burn</t>
        </r>
      </text>
    </comment>
    <comment ref="B55" authorId="1" shapeId="0">
      <text>
        <r>
          <rPr>
            <b/>
            <sz val="9"/>
            <color indexed="81"/>
            <rFont val="Tahoma"/>
            <family val="2"/>
          </rPr>
          <t>Aquarius y frugos</t>
        </r>
      </text>
    </comment>
    <comment ref="B56" authorId="1" shapeId="0">
      <text>
        <r>
          <rPr>
            <b/>
            <sz val="9"/>
            <color indexed="81"/>
            <rFont val="Tahoma"/>
            <family val="2"/>
          </rPr>
          <t>Hidratante: powerade y energizante: Burn</t>
        </r>
      </text>
    </comment>
  </commentList>
</comments>
</file>

<file path=xl/sharedStrings.xml><?xml version="1.0" encoding="utf-8"?>
<sst xmlns="http://schemas.openxmlformats.org/spreadsheetml/2006/main" count="3851" uniqueCount="1987">
  <si>
    <t>Nro acciones</t>
  </si>
  <si>
    <t>Valor</t>
  </si>
  <si>
    <t>Acciones Comunes</t>
  </si>
  <si>
    <t>D/E</t>
  </si>
  <si>
    <t>Acciones de Inversión</t>
  </si>
  <si>
    <t xml:space="preserve">Tasa imponible </t>
  </si>
  <si>
    <t>Valor de la Empresa</t>
  </si>
  <si>
    <t>Beta re apalancada</t>
  </si>
  <si>
    <t>Tasa libre de riesgo</t>
  </si>
  <si>
    <t>Beta re apalancado</t>
  </si>
  <si>
    <t>Prima por riesgo</t>
  </si>
  <si>
    <t>Riesgo país</t>
  </si>
  <si>
    <t>Ke</t>
  </si>
  <si>
    <t>D/E Optimo</t>
  </si>
  <si>
    <t>Beta Desapalancado</t>
  </si>
  <si>
    <t>Tasa Libre de Riesgo</t>
  </si>
  <si>
    <t>Beta Apalancado</t>
  </si>
  <si>
    <t>Costo de capital terminal</t>
  </si>
  <si>
    <t>Country</t>
  </si>
  <si>
    <t>Impuestos</t>
  </si>
  <si>
    <t>T</t>
  </si>
  <si>
    <t xml:space="preserve">Activo   </t>
  </si>
  <si>
    <t xml:space="preserve">Activo corriente   </t>
  </si>
  <si>
    <t>Efectivo y equivalentes de efectivo</t>
  </si>
  <si>
    <t>Cuentas por cobrar comerciales, neto</t>
  </si>
  <si>
    <t>Cuentas por cobrar a relacionadas</t>
  </si>
  <si>
    <t xml:space="preserve">Otras activos financieros y reclamos, neto </t>
  </si>
  <si>
    <t xml:space="preserve">Inventarios, neto </t>
  </si>
  <si>
    <t xml:space="preserve">Crédito por impuesto a la renta </t>
  </si>
  <si>
    <t xml:space="preserve">Cargas diferidas </t>
  </si>
  <si>
    <t>Inversiones financieras mantenidas para la  venta</t>
  </si>
  <si>
    <t>Total activo corriente</t>
  </si>
  <si>
    <t xml:space="preserve">Activo no corriente   </t>
  </si>
  <si>
    <t xml:space="preserve">Cuentas por cobrar comerciales, neto </t>
  </si>
  <si>
    <t>Otros activos financieros y reclamos, neto</t>
  </si>
  <si>
    <t>Propiedades de inversión, neto</t>
  </si>
  <si>
    <t>Propiedades, planta y equipo, neto</t>
  </si>
  <si>
    <t>Plusvalía</t>
  </si>
  <si>
    <t>Intangibles, neto</t>
  </si>
  <si>
    <t xml:space="preserve">Activo diferido por impuesto a la renta  </t>
  </si>
  <si>
    <t xml:space="preserve">Otros activos  </t>
  </si>
  <si>
    <t xml:space="preserve">Total activo no corriente </t>
  </si>
  <si>
    <t xml:space="preserve">Total activo  </t>
  </si>
  <si>
    <t xml:space="preserve">Pasivo y patrimonio neto   </t>
  </si>
  <si>
    <t xml:space="preserve"> </t>
  </si>
  <si>
    <t xml:space="preserve">    </t>
  </si>
  <si>
    <t xml:space="preserve">Pasivo corriente   </t>
  </si>
  <si>
    <t>Obligaciones financieras</t>
  </si>
  <si>
    <t>Cuentas por pagar comerciales</t>
  </si>
  <si>
    <t>Cuentas por pagar a relacionadas</t>
  </si>
  <si>
    <t xml:space="preserve">Impuesto a las ganancias y participaciones por pagar  </t>
  </si>
  <si>
    <t>Otras cuentas por pagar</t>
  </si>
  <si>
    <t>Instrumentos financieros derivados</t>
  </si>
  <si>
    <t xml:space="preserve">Total pasivo corriente </t>
  </si>
  <si>
    <t>Pasivo neto por impuesto a las ganancias diferido</t>
  </si>
  <si>
    <t xml:space="preserve">Total pasivo no corriente </t>
  </si>
  <si>
    <t>Total pasivo</t>
  </si>
  <si>
    <t>Patrimonio neto</t>
  </si>
  <si>
    <t xml:space="preserve">Capital social  </t>
  </si>
  <si>
    <t xml:space="preserve">Acciones de inversión   </t>
  </si>
  <si>
    <t xml:space="preserve">Reserva legal  </t>
  </si>
  <si>
    <t xml:space="preserve">Otras reservas de patrimonio  </t>
  </si>
  <si>
    <t>Ganancia neta no realizada proveniente de contratos de cobertura</t>
  </si>
  <si>
    <t xml:space="preserve">Resultados acumulados  </t>
  </si>
  <si>
    <t xml:space="preserve">Total patrimonio neto  </t>
  </si>
  <si>
    <t xml:space="preserve">Total pasivo y patrimonio neto  </t>
  </si>
  <si>
    <t>Costo de ventas</t>
  </si>
  <si>
    <t>Otros ingresos operativos</t>
  </si>
  <si>
    <t>Otros gastos operativos</t>
  </si>
  <si>
    <t>Participación en los resultados de subsidiaria</t>
  </si>
  <si>
    <t>Ingresos financieros</t>
  </si>
  <si>
    <t>Gastos financieros</t>
  </si>
  <si>
    <t>Impuesto a las ganancias</t>
  </si>
  <si>
    <t>Date updated:</t>
  </si>
  <si>
    <t>Created by:</t>
  </si>
  <si>
    <t>Aswath Damodaran, adamodar@stern.nyu.edu</t>
  </si>
  <si>
    <t>What is this data?</t>
  </si>
  <si>
    <t>Beta, Unlevered beta and other risk measures</t>
  </si>
  <si>
    <t>US companies</t>
  </si>
  <si>
    <t>Home Page:</t>
  </si>
  <si>
    <t>http://www.damodaran.com</t>
  </si>
  <si>
    <t>Data website:</t>
  </si>
  <si>
    <t>http://www.stern.nyu.edu/~adamodar/New_Home_Page/data.html</t>
  </si>
  <si>
    <t>Companies in each industry:</t>
  </si>
  <si>
    <t>http://www.stern.nyu.edu/~adamodar/pc/datasets/indname.xls</t>
  </si>
  <si>
    <t>Variable definitions:</t>
  </si>
  <si>
    <t>http://www.stern.nyu.edu/~adamodar/New_Home_Page/datafile/variable.htm</t>
  </si>
  <si>
    <t>Industry Name</t>
  </si>
  <si>
    <t>Number of firms</t>
  </si>
  <si>
    <t xml:space="preserve">Beta </t>
  </si>
  <si>
    <t>D/E Ratio</t>
  </si>
  <si>
    <t>Tax rate</t>
  </si>
  <si>
    <t>Unlevered beta</t>
  </si>
  <si>
    <t>Cash/Firm value</t>
  </si>
  <si>
    <t>Unlevered beta corrected for cash</t>
  </si>
  <si>
    <t>HiLo Risk</t>
  </si>
  <si>
    <t>Standard deviation of equity</t>
  </si>
  <si>
    <t>Advertising</t>
  </si>
  <si>
    <t>Aerospace/Defense</t>
  </si>
  <si>
    <t>Air Transport</t>
  </si>
  <si>
    <t>Apparel</t>
  </si>
  <si>
    <t>Auto &amp; Truck</t>
  </si>
  <si>
    <t>Auto Parts</t>
  </si>
  <si>
    <t>Bank (Money Center)</t>
  </si>
  <si>
    <t>Banks (Regional)</t>
  </si>
  <si>
    <t>Beverage (Alcoholic)</t>
  </si>
  <si>
    <t>Beverage (Soft)</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</si>
  <si>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</si>
  <si>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</si>
  <si>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</si>
  <si>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</si>
  <si>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</si>
  <si>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</si>
  <si>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</si>
  <si>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</si>
  <si>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</si>
  <si>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</si>
  <si>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Computers/Peripherals</t>
  </si>
  <si>
    <t>Construction Supplies</t>
  </si>
  <si>
    <t>Diversified</t>
  </si>
  <si>
    <t>Drugs (Biotechnology)</t>
  </si>
  <si>
    <t>Drugs (Pharmaceutical)</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</si>
  <si>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</si>
  <si>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</si>
  <si>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</si>
  <si>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</si>
  <si>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</si>
  <si>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</si>
  <si>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</si>
  <si>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</si>
  <si>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</si>
  <si>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</si>
  <si>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</si>
  <si>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</si>
  <si>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</si>
  <si>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</si>
  <si>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</si>
  <si>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</si>
  <si>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</si>
  <si>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</si>
  <si>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</si>
  <si>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</si>
  <si>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</si>
  <si>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</si>
  <si>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</si>
  <si>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</si>
  <si>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</si>
  <si>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</si>
  <si>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</si>
  <si>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</si>
  <si>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</si>
  <si>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(Production and Exploration)</t>
  </si>
  <si>
    <t>Oil/Gas Distribution</t>
  </si>
  <si>
    <t>Oilfield Svcs/Equip.</t>
  </si>
  <si>
    <t>Packaging &amp; Container</t>
  </si>
  <si>
    <t>Paper/Forest Products</t>
  </si>
  <si>
    <t>Power</t>
  </si>
  <si>
    <t>Precious Metals</t>
  </si>
  <si>
    <t>Publshing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</si>
  <si>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</si>
  <si>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</si>
  <si>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</si>
  <si>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</si>
  <si>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</si>
  <si>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</si>
  <si>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</si>
  <si>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</si>
  <si>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</si>
  <si>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</si>
  <si>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</si>
  <si>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</si>
  <si>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</si>
  <si>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</si>
  <si>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</si>
  <si>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t>
  </si>
  <si>
    <t>Semiconductor Equip</t>
  </si>
  <si>
    <t>Shipbuilding &amp; Marine</t>
  </si>
  <si>
    <t>Shoe</t>
  </si>
  <si>
    <t>Software (Entertainment)</t>
  </si>
  <si>
    <t>Software (Internet)</t>
  </si>
  <si>
    <t>Software (System &amp; Application)</t>
  </si>
  <si>
    <t>Steel</t>
  </si>
  <si>
    <t>Telecom (Wireless)</t>
  </si>
  <si>
    <t>Telecom. Equipment</t>
  </si>
  <si>
    <t>Telecom. Services</t>
  </si>
  <si>
    <t>Tobacco</t>
  </si>
  <si>
    <t>Transportation</t>
  </si>
  <si>
    <t>Transportation (Railroads)</t>
  </si>
  <si>
    <t>Trucking</t>
  </si>
  <si>
    <t>Unclassified</t>
  </si>
  <si>
    <t>Utility (General)</t>
  </si>
  <si>
    <t>Utility (Water)</t>
  </si>
  <si>
    <t>CUADRO 37</t>
  </si>
  <si>
    <t>INDICADORES DE RIESGO PARA PAÍSES EMERGENTES: Índice de Bonos de Mercados Emergentes (EMBIG)      1/</t>
  </si>
  <si>
    <t>Fecha</t>
  </si>
  <si>
    <t>LATIN EMBIG Países Latinoamericanos / Latin Countries</t>
  </si>
  <si>
    <t>EMBIG Países Emergentes / Emerging Countries</t>
  </si>
  <si>
    <t>Date</t>
  </si>
  <si>
    <t>Tesoro de EUA         5 años / USA Treasury 5 years</t>
  </si>
  <si>
    <t>Tesoro de EUA      10 años / USA Treasury 10 years</t>
  </si>
  <si>
    <t>Tesoro de EUA 30 años / USA Treasury 30 years</t>
  </si>
  <si>
    <t xml:space="preserve">Perú  </t>
  </si>
  <si>
    <t>Argentina</t>
  </si>
  <si>
    <t>Brasil</t>
  </si>
  <si>
    <t>Chile</t>
  </si>
  <si>
    <t>Colombia</t>
  </si>
  <si>
    <t>Ecuador</t>
  </si>
  <si>
    <t>México</t>
  </si>
  <si>
    <t>Venezuela</t>
  </si>
  <si>
    <t>Dic.</t>
  </si>
  <si>
    <t>Ene.</t>
  </si>
  <si>
    <t>Jan.</t>
  </si>
  <si>
    <t>Feb.</t>
  </si>
  <si>
    <t>Mar.</t>
  </si>
  <si>
    <t>Abr.</t>
  </si>
  <si>
    <t>Apr.</t>
  </si>
  <si>
    <t>May.</t>
  </si>
  <si>
    <t>Jun.</t>
  </si>
  <si>
    <t>Jul.</t>
  </si>
  <si>
    <t>Ago.</t>
  </si>
  <si>
    <t>Aug.</t>
  </si>
  <si>
    <t>Set.</t>
  </si>
  <si>
    <t>Sep.</t>
  </si>
  <si>
    <t>Oct.</t>
  </si>
  <si>
    <t>Nov.</t>
  </si>
  <si>
    <t>May</t>
  </si>
  <si>
    <t>Dec.</t>
  </si>
  <si>
    <t>Jun</t>
  </si>
  <si>
    <t>Jun.   7/</t>
  </si>
  <si>
    <t xml:space="preserve"> Oct.</t>
  </si>
  <si>
    <t xml:space="preserve">Ago. </t>
  </si>
  <si>
    <t>July.</t>
  </si>
  <si>
    <t>Oct .</t>
  </si>
  <si>
    <t xml:space="preserve">Jul. </t>
  </si>
  <si>
    <t xml:space="preserve">Dic. </t>
  </si>
  <si>
    <t xml:space="preserve">Ene. </t>
  </si>
  <si>
    <t xml:space="preserve">Jan. </t>
  </si>
  <si>
    <t xml:space="preserve">Mar. </t>
  </si>
  <si>
    <t xml:space="preserve">Abr. </t>
  </si>
  <si>
    <t xml:space="preserve">May. </t>
  </si>
  <si>
    <t xml:space="preserve">Jun. </t>
  </si>
  <si>
    <t xml:space="preserve">Set. </t>
  </si>
  <si>
    <t xml:space="preserve">Oct. </t>
  </si>
  <si>
    <t xml:space="preserve">Dec. </t>
  </si>
  <si>
    <t xml:space="preserve">Feb. </t>
  </si>
  <si>
    <t xml:space="preserve"> Feb. </t>
  </si>
  <si>
    <t xml:space="preserve">Apr. </t>
  </si>
  <si>
    <t xml:space="preserve">Aug. </t>
  </si>
  <si>
    <t>Oct</t>
  </si>
  <si>
    <t>Nov</t>
  </si>
  <si>
    <t xml:space="preserve">Dic </t>
  </si>
  <si>
    <t xml:space="preserve">Dec </t>
  </si>
  <si>
    <t>Aug</t>
  </si>
  <si>
    <t>n.d.</t>
  </si>
  <si>
    <t>Feb. 1 - 9</t>
  </si>
  <si>
    <t>Nota: Var. %</t>
  </si>
  <si>
    <t>Note:  % chg.</t>
  </si>
  <si>
    <t>Anual</t>
  </si>
  <si>
    <t>Year-to-Year</t>
  </si>
  <si>
    <t>Acumulada</t>
  </si>
  <si>
    <t>Cumulative</t>
  </si>
  <si>
    <t>Mensual</t>
  </si>
  <si>
    <t>Monthly</t>
  </si>
  <si>
    <t>1/ La información de este cuadro se ha actualizado en la Nota Semanal N° 6 (12 de febrero de 2016). Corresponde a datos promedio del mes.</t>
  </si>
  <si>
    <t xml:space="preserve">2/ Índice elaborado por el J.P. Morgan que refleja los retornos del portafolio de deuda según sea el caso, es decir, de cada país, de los países latinoamericanos y de los países emer- </t>
  </si>
  <si>
    <t xml:space="preserve">    gentes en  conjunto. Considera como deuda, eurobonos, bonos Brady y en menor medida deudas locales y préstamos. Estos indicadores son promedio para cada período y su </t>
  </si>
  <si>
    <t xml:space="preserve">    disminución se asocia con una reducción del riesgo país percibido por los inversionistas. Se mide en puntos básicos y corresponde al diferencial de rendimientos con respecto al </t>
  </si>
  <si>
    <t xml:space="preserve">    bono del Tesoro de EUA de similar duración de la deuda en cuestión.</t>
  </si>
  <si>
    <t>3/ Cien puntos básicos equivalen a uno por ciento.</t>
  </si>
  <si>
    <t>7/ La reducción en el EMBI+, el LATIN y el spread de Argentina este mes y en julio, se debe a que JP Morgan inició el día 13 el reemplazo de los bonos en default de</t>
  </si>
  <si>
    <t xml:space="preserve">    Argentina por los bonos nuevos emitidos en la reestructuración.</t>
  </si>
  <si>
    <t>DIFERENCIAL DE RENDIMIENTOS CONTRA BONOS DEL TESORO DE ESTADOS UNIDOS DE AMÉRICA (EUA)      2/    (En puntos básicos)   3/</t>
  </si>
  <si>
    <t>Historical returns: Stocks, T.Bonds &amp; T.Bills with premiums</t>
  </si>
  <si>
    <t>Customized Geometric risk premium estimator</t>
  </si>
  <si>
    <t>What is your riskfree rate?</t>
  </si>
  <si>
    <t>LT</t>
    <phoneticPr fontId="0" type="noConversion"/>
  </si>
  <si>
    <t>Estimates of risk premiums from 1928, over the last 50 years and over the last 10 years</t>
  </si>
  <si>
    <t>Enter your starting year</t>
  </si>
  <si>
    <t>are provided at the bottom of this table.</t>
  </si>
  <si>
    <t>Value of stocks in starting year:</t>
  </si>
  <si>
    <t>Value of T.Bills in starting year:</t>
    <phoneticPr fontId="0" type="noConversion"/>
  </si>
  <si>
    <t>Value of T.bonds in starting year:</t>
  </si>
  <si>
    <t>Estimate of risk premium based on your inputs:</t>
  </si>
  <si>
    <t>Annual Returns on Investments in</t>
  </si>
  <si>
    <t>Compounded Value of $ 100</t>
  </si>
  <si>
    <t>Year</t>
  </si>
  <si>
    <t>S&amp;P 500</t>
  </si>
  <si>
    <t>3-month T.Bill</t>
  </si>
  <si>
    <t>10-year T. Bond</t>
  </si>
  <si>
    <t>Stocks</t>
  </si>
  <si>
    <t>T.Bills</t>
  </si>
  <si>
    <t>T.Bonds</t>
  </si>
  <si>
    <t>Stocks - Bills</t>
    <phoneticPr fontId="0" type="noConversion"/>
  </si>
  <si>
    <t>Stocks - Bonds</t>
    <phoneticPr fontId="0" type="noConversion"/>
  </si>
  <si>
    <t>Historical risk premium</t>
  </si>
  <si>
    <t>Risk Premium</t>
  </si>
  <si>
    <t>Standard Error</t>
    <phoneticPr fontId="0" type="noConversion"/>
  </si>
  <si>
    <t>Arithmetic Average</t>
  </si>
  <si>
    <t>Stocks - T.Bills</t>
  </si>
  <si>
    <t>Stocks - T.Bonds</t>
  </si>
  <si>
    <t>1928-2015</t>
  </si>
  <si>
    <t>1966-2015</t>
  </si>
  <si>
    <t>2006-2015</t>
  </si>
  <si>
    <t>Geometric Average</t>
  </si>
  <si>
    <t>Beta desapalancado</t>
  </si>
  <si>
    <t>Porcentaje Deuda y Capital</t>
  </si>
  <si>
    <t>Mercado</t>
  </si>
  <si>
    <t>Patrimonio</t>
  </si>
  <si>
    <t>WACC actual</t>
  </si>
  <si>
    <t>Deuda/Deuda+Capital</t>
  </si>
  <si>
    <t>D/(D+E)</t>
  </si>
  <si>
    <t>Capital/Deuda+Capital</t>
  </si>
  <si>
    <t>E/(D+E)</t>
  </si>
  <si>
    <t>Tasa impuesto efectiva</t>
  </si>
  <si>
    <t>Costo de la deuda</t>
  </si>
  <si>
    <t>Kd</t>
  </si>
  <si>
    <t>Costo de capital</t>
  </si>
  <si>
    <t>WACC</t>
  </si>
  <si>
    <t>WACC para valor terminal</t>
  </si>
  <si>
    <t>Cálculo del WACC</t>
  </si>
  <si>
    <t>Cálculo del Costo de Capital - Ke</t>
  </si>
  <si>
    <t>Tasa efectiva</t>
  </si>
  <si>
    <t>S/. (000)</t>
  </si>
  <si>
    <t>Comentarios</t>
  </si>
  <si>
    <t>Ventas (nota 18)</t>
  </si>
  <si>
    <t>Carbonatadas</t>
  </si>
  <si>
    <t>Pierden participación</t>
  </si>
  <si>
    <t>Aguas</t>
  </si>
  <si>
    <t>No carbonatadas</t>
  </si>
  <si>
    <t>Otros</t>
  </si>
  <si>
    <t>Menos descuentos</t>
  </si>
  <si>
    <t>Ventas</t>
  </si>
  <si>
    <t>Costos</t>
  </si>
  <si>
    <t>% sobre las ventas - Costos</t>
  </si>
  <si>
    <t>Comentario</t>
  </si>
  <si>
    <t>Materia prima e insumos utilizados y compra de mercaderías</t>
  </si>
  <si>
    <t>Personal</t>
  </si>
  <si>
    <t>Servicios prestados por terceros</t>
  </si>
  <si>
    <t>Tributos y otros</t>
  </si>
  <si>
    <t>Otras provisiones</t>
  </si>
  <si>
    <t>Utilidad bruta</t>
  </si>
  <si>
    <t>Gastos de ventas</t>
  </si>
  <si>
    <t>% sobre las ventas - Gastos de ventas</t>
  </si>
  <si>
    <t>Publicidad y promoción</t>
  </si>
  <si>
    <t>Gastos de Administración</t>
  </si>
  <si>
    <t>% sobre las ventas - Gastos de administración</t>
  </si>
  <si>
    <t>% sobre las ventas - Otros ingresos operativos</t>
  </si>
  <si>
    <t>Venta de botellas y cajas</t>
  </si>
  <si>
    <t>Venta de servicios, materias primas, material publicitario y otros</t>
  </si>
  <si>
    <t>Devolución de impuestos</t>
  </si>
  <si>
    <t>Alquileres</t>
  </si>
  <si>
    <t>Enajenación de inmuebles, maquinaria y equipo</t>
  </si>
  <si>
    <t>Servicios prestados por terceros y otros similares</t>
  </si>
  <si>
    <t>Varios</t>
  </si>
  <si>
    <t>Bajas</t>
  </si>
  <si>
    <t>% sobre las ventas - Otros gastos operativos</t>
  </si>
  <si>
    <t>Baja de existencias, botellas y cajas</t>
  </si>
  <si>
    <t>Provisiones para contingencias, cese de personal y diversas</t>
  </si>
  <si>
    <t>Depreciación de costos de envases y otros, nota 9(d)</t>
  </si>
  <si>
    <t>Costo de ventas de servicios, materias primas, material publicitario y otros</t>
  </si>
  <si>
    <t>Costo neto de enajenación de inmuebles, maquinaria y equipo</t>
  </si>
  <si>
    <t>Costo de ventas, botellas y cajas</t>
  </si>
  <si>
    <t>Utilidad operativa</t>
  </si>
  <si>
    <t>% sobre las ventas - Participación en los resultados de subsidiarias</t>
  </si>
  <si>
    <t>% sobre las ventas - Otros ingresos financieros</t>
  </si>
  <si>
    <t>Intereses por inversiones mantenidas para la venta</t>
  </si>
  <si>
    <t>Ingresos por depósitos bancarios y otros</t>
  </si>
  <si>
    <t>Ingresos por intereses a vinculadas, nota 21</t>
  </si>
  <si>
    <t>Ingreso financiero por forward</t>
  </si>
  <si>
    <t>Ganancia por diferencia de cambio</t>
  </si>
  <si>
    <t>% sobre las ventas - Otros gastos financieros</t>
  </si>
  <si>
    <t>Intereses y gastos de obligaciones a largo plazo</t>
  </si>
  <si>
    <t>Intereses y gastos de obligaciones a largo plazo y otros</t>
  </si>
  <si>
    <t>Intereses por préstamos bancarios</t>
  </si>
  <si>
    <t>Intereses por leasing, otros gastos financieros</t>
  </si>
  <si>
    <t>Intereses a vinculadas, nota 21</t>
  </si>
  <si>
    <t>Pérdida realizada de instrumentos financieros de cobertura, nota 25(i) y (ii)</t>
  </si>
  <si>
    <t>Pérdida por diferencia de cambio</t>
  </si>
  <si>
    <t>Cambios en el valor razonable de instrumentos financieros derivados</t>
  </si>
  <si>
    <t>Pérdida antes de impuesto a las ganancias</t>
  </si>
  <si>
    <t>Utilidad (pérdida) neta</t>
  </si>
  <si>
    <t>Valor de Mercado al</t>
  </si>
  <si>
    <t>ISIN/Identif.</t>
  </si>
  <si>
    <t>Emisor</t>
  </si>
  <si>
    <t>Moneda</t>
  </si>
  <si>
    <t>P. Limpio (%)</t>
  </si>
  <si>
    <t>Monto Emitido</t>
  </si>
  <si>
    <t>Spreads</t>
  </si>
  <si>
    <t>P. Limpio</t>
  </si>
  <si>
    <t>P. Sucio</t>
  </si>
  <si>
    <t>I.C.</t>
  </si>
  <si>
    <t>F. Emisión</t>
  </si>
  <si>
    <t>F. Vencimiento</t>
  </si>
  <si>
    <t>Cupón (%)</t>
  </si>
  <si>
    <t>Rating</t>
  </si>
  <si>
    <t>Ult. Cupón</t>
  </si>
  <si>
    <t>Cantidad de Bonos</t>
  </si>
  <si>
    <t>(monto)</t>
  </si>
  <si>
    <t>Valor de Mercado de los Bonos</t>
  </si>
  <si>
    <t>Valor de Mercado de la Deuda</t>
  </si>
  <si>
    <t>USP31442AA77</t>
  </si>
  <si>
    <t>CORP LINDLEY SA</t>
  </si>
  <si>
    <t>USD</t>
  </si>
  <si>
    <t>USP31442AC34</t>
  </si>
  <si>
    <t>Emision</t>
  </si>
  <si>
    <t>Vcto</t>
  </si>
  <si>
    <t>Importe USD</t>
  </si>
  <si>
    <t>Tasa</t>
  </si>
  <si>
    <t>Importe PEN 2013</t>
  </si>
  <si>
    <t>Importe PEN 2014</t>
  </si>
  <si>
    <t>Importe PEN 2015</t>
  </si>
  <si>
    <t>FECHA</t>
  </si>
  <si>
    <t>DEUDA</t>
  </si>
  <si>
    <t>AMORT</t>
  </si>
  <si>
    <t>INTERES</t>
  </si>
  <si>
    <t>TOTAL1</t>
  </si>
  <si>
    <t>BBB</t>
  </si>
  <si>
    <t>A continuación se presenta la composición del rubro:</t>
  </si>
  <si>
    <t>Corriente</t>
  </si>
  <si>
    <t>No corriente</t>
  </si>
  <si>
    <t>Total deuda</t>
  </si>
  <si>
    <t>Acreedor</t>
  </si>
  <si>
    <t>Garantías otorgadas</t>
  </si>
  <si>
    <t>Tasa de interés %</t>
  </si>
  <si>
    <t>Vencimiento</t>
  </si>
  <si>
    <t>Arrendamientos financieros (b)</t>
  </si>
  <si>
    <t>21 contratos de arrendamientos financieros</t>
  </si>
  <si>
    <t>Bienes relacionados al contrato</t>
  </si>
  <si>
    <t>4.19 – 10.05</t>
  </si>
  <si>
    <t>2013 - 2020</t>
  </si>
  <si>
    <t>TOTAL2</t>
  </si>
  <si>
    <t>Bonos Corporativos Internacionales (c)</t>
  </si>
  <si>
    <t>Emitidos para reestructuración de posición financiera</t>
  </si>
  <si>
    <t>Sin garantía específica</t>
  </si>
  <si>
    <t>4.625 - 6.75</t>
  </si>
  <si>
    <t>Nov-21 – Abr 23</t>
  </si>
  <si>
    <t>Financiamiento por compra de maquinarias</t>
  </si>
  <si>
    <t>1.98 - 6.9</t>
  </si>
  <si>
    <t>2015 - 2016</t>
  </si>
  <si>
    <t>Financiamiento por compra de bienes y otros</t>
  </si>
  <si>
    <t>4 - 7.65</t>
  </si>
  <si>
    <t>Líneas de crédito utilizadas para la negociación de contratos de azúcar, nota 27</t>
  </si>
  <si>
    <t>Menos costos por financiamiento</t>
  </si>
  <si>
    <t>Total obligaciones financieras</t>
  </si>
  <si>
    <t xml:space="preserve">El Grupo tiene suscritos diversos contratos de arrendamiento financiero con el BBVA Banco Continental, Interbank y Banco de Crédito del Perú, por la adquisición de líneas de embotellado Krones, vehículos, montacargas y equipos de frío, y por la implementación de las nuevas plantas de embotellado y la renovación de algunas plantas a fin de incrementar el nivel de producción de las mismas. </t>
  </si>
  <si>
    <t>Con fecha 23 de noviembre de 2011, Lindley efectuó la emisión internacional de bonos bajo la regla 144A/Regulación S de la Ley de Mercado de Valores de los Estados Unidos de América por un monto de US$ 320,000,000 a una tasa de 6.75 por ciento y con vencimiento el 23 de noviembre de 2021. Asimismo, el 9 de abril de 2013 se efectuó otra emisión internacional de bonos, bajo la misma Regulación, por un monto de US$ 260,000,000 a una tasa de 4.625 por ciento y con vencimiento el 9 de abril de 2023. Los fondos obtenidos de estas emisiones internacionales fueron utilizados para el ejercicio de la opción de rescate de las emisiones locales de bonos del Primer Programa de Bonos Corporativos (primera, segunda, tercera, cuarta y sexta emisión), la cancelación de los préstamos bancarios, así como también para solventar la inversión necesaria para la construcción e implementación de las plantas industriales de Pucusana, Arequipa, Trujillo y Lima.</t>
  </si>
  <si>
    <t>A continuación se detalla el vencimiento de las obligaciones financieras a largo plazo mantenidas por el Grupo al 31 de diciembre de 2014 y de 2013, durante los próximos años:</t>
  </si>
  <si>
    <t>Cuentas por pagar comerciales y otras cuentas por pagar</t>
  </si>
  <si>
    <t>Menos – Efectivo y equivalentes de efectivo</t>
  </si>
  <si>
    <t xml:space="preserve">Deuda neta </t>
  </si>
  <si>
    <t>Capital y reservas</t>
  </si>
  <si>
    <t>Capital y deuda neta</t>
  </si>
  <si>
    <t>Índice de apalancamiento (a / b)</t>
  </si>
  <si>
    <t>Valor de arrendamientos financieros</t>
  </si>
  <si>
    <t>Tasa Ponderada</t>
  </si>
  <si>
    <t>Costo Final de Financiamiento ponderado</t>
  </si>
  <si>
    <t>ALICORP</t>
  </si>
  <si>
    <t>SHARES OUT</t>
  </si>
  <si>
    <t>PRICE (SOLES)</t>
  </si>
  <si>
    <t>VOTING RIGHT</t>
  </si>
  <si>
    <t>MARKETCAP</t>
  </si>
  <si>
    <t>INVESTMENT SHARE</t>
  </si>
  <si>
    <t>N</t>
  </si>
  <si>
    <t>FACTOR</t>
  </si>
  <si>
    <t>COMMON SHARE</t>
  </si>
  <si>
    <t>Y</t>
  </si>
  <si>
    <t>NA</t>
  </si>
  <si>
    <t>NR</t>
  </si>
  <si>
    <t>Caa3</t>
  </si>
  <si>
    <t>Caa2</t>
  </si>
  <si>
    <t>Caa1</t>
  </si>
  <si>
    <t>Ca</t>
  </si>
  <si>
    <t>Baa3</t>
  </si>
  <si>
    <t>Baa2</t>
  </si>
  <si>
    <t>Baa1</t>
  </si>
  <si>
    <t>Ba3</t>
  </si>
  <si>
    <t>Ba2</t>
  </si>
  <si>
    <t>Ba1</t>
  </si>
  <si>
    <t>B3</t>
  </si>
  <si>
    <t>B2</t>
  </si>
  <si>
    <t>B1</t>
  </si>
  <si>
    <t>Aaa</t>
  </si>
  <si>
    <t>Aa3</t>
  </si>
  <si>
    <t>Aa2</t>
  </si>
  <si>
    <t>Aa1</t>
  </si>
  <si>
    <t>A3</t>
  </si>
  <si>
    <t>A2</t>
  </si>
  <si>
    <t>A1</t>
  </si>
  <si>
    <t>Default spread in basis points</t>
  </si>
  <si>
    <t>Zimbabwe</t>
  </si>
  <si>
    <t>Yemen, Republic</t>
  </si>
  <si>
    <t>Togo</t>
  </si>
  <si>
    <t>Tanzania</t>
  </si>
  <si>
    <t>Syria</t>
  </si>
  <si>
    <t>Sudan</t>
  </si>
  <si>
    <t>Somalia</t>
  </si>
  <si>
    <t>Sierra Leone</t>
  </si>
  <si>
    <t>Niger</t>
  </si>
  <si>
    <t>Myanmar</t>
  </si>
  <si>
    <t>Mali</t>
  </si>
  <si>
    <t>Malawi</t>
  </si>
  <si>
    <t>Madagascar</t>
  </si>
  <si>
    <t>Libya</t>
  </si>
  <si>
    <t>Liberia</t>
  </si>
  <si>
    <t>Korea, D.P.R.</t>
  </si>
  <si>
    <t>Iraq</t>
  </si>
  <si>
    <t>Iran</t>
  </si>
  <si>
    <t>Haiti</t>
  </si>
  <si>
    <t>Guyana</t>
  </si>
  <si>
    <t>Guinea-Bissau</t>
  </si>
  <si>
    <t>Guinea</t>
  </si>
  <si>
    <t>Gambia</t>
  </si>
  <si>
    <t>Brunei</t>
  </si>
  <si>
    <t>Algeria</t>
  </si>
  <si>
    <t>CRP</t>
  </si>
  <si>
    <t>ERP</t>
  </si>
  <si>
    <t>PRS Composite Risk Score</t>
  </si>
  <si>
    <t>Frontier Markets (no sovereign ratings)</t>
  </si>
  <si>
    <t>Has to be sorted in ascending order</t>
  </si>
  <si>
    <t>Country Risk Premium</t>
  </si>
  <si>
    <t>Total Equity Risk Premium</t>
  </si>
  <si>
    <t>CDS Default Spread (net of US)</t>
  </si>
  <si>
    <t>Rating-based Default Spread</t>
  </si>
  <si>
    <t>Updated February 11, 2016</t>
  </si>
  <si>
    <t>If yes, enter the multiplier to use on the default spread (See worksheet for volatility numbers for selected emerging markets)</t>
  </si>
  <si>
    <t>Yes</t>
  </si>
  <si>
    <t>Do you want to adjust the country default spread for the additional volatility of the equity market to get to a country premium?</t>
  </si>
  <si>
    <t>Enter the current risk premium for a mature equity market</t>
  </si>
  <si>
    <t>Estimating Country Risk Premiums</t>
  </si>
  <si>
    <t>Abu Dhabi</t>
  </si>
  <si>
    <t>Middle East</t>
  </si>
  <si>
    <t>Albania</t>
  </si>
  <si>
    <t>Eastern Europe &amp; Russia</t>
  </si>
  <si>
    <t>Andorra (Principality of)</t>
  </si>
  <si>
    <t>Western Europe</t>
  </si>
  <si>
    <t>Angola</t>
  </si>
  <si>
    <t>Africa</t>
  </si>
  <si>
    <t>Central and South America</t>
  </si>
  <si>
    <t>Armenia</t>
  </si>
  <si>
    <t>Aruba</t>
  </si>
  <si>
    <t>Caribbean</t>
  </si>
  <si>
    <t>Australia</t>
  </si>
  <si>
    <t>Australia &amp; New Zealand</t>
  </si>
  <si>
    <t>Austria</t>
  </si>
  <si>
    <t>Azerbaijan</t>
  </si>
  <si>
    <t>Bahamas</t>
  </si>
  <si>
    <t>Bahrain</t>
  </si>
  <si>
    <t>Bangladesh</t>
  </si>
  <si>
    <t>Asia</t>
  </si>
  <si>
    <t>Barbados</t>
  </si>
  <si>
    <t>Belarus</t>
  </si>
  <si>
    <t>Belgium</t>
  </si>
  <si>
    <t>Belize</t>
  </si>
  <si>
    <t>Bermuda</t>
  </si>
  <si>
    <t>Bolivia</t>
  </si>
  <si>
    <t>Bosnia and Herzegovina</t>
  </si>
  <si>
    <t>Botswana</t>
  </si>
  <si>
    <t>Brazil</t>
  </si>
  <si>
    <t>Bulgaria</t>
  </si>
  <si>
    <t>Burkina Faso</t>
  </si>
  <si>
    <t>Cambodia</t>
  </si>
  <si>
    <t>Cameroon</t>
  </si>
  <si>
    <t>Canada</t>
  </si>
  <si>
    <t>North America</t>
  </si>
  <si>
    <t>Cayman Islands</t>
  </si>
  <si>
    <t>Cape Verde</t>
  </si>
  <si>
    <t>China</t>
  </si>
  <si>
    <t>Congo (Democratic Republic of)</t>
  </si>
  <si>
    <t>Congo (Republic of)</t>
  </si>
  <si>
    <t>Cook Islands</t>
  </si>
  <si>
    <t>Costa Rica</t>
  </si>
  <si>
    <t>Côte d'Ivoire</t>
  </si>
  <si>
    <t>Croatia</t>
  </si>
  <si>
    <t>Cuba</t>
  </si>
  <si>
    <t>Curacao</t>
  </si>
  <si>
    <t>Cyprus</t>
  </si>
  <si>
    <t>Czech Republic</t>
  </si>
  <si>
    <t>Denmark</t>
  </si>
  <si>
    <t>Dominican Republic</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</si>
  <si>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</si>
  <si>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</si>
  <si>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</si>
  <si>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</si>
  <si>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</si>
  <si>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</si>
  <si>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</si>
  <si>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</si>
  <si>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</si>
  <si>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</si>
  <si>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</si>
  <si>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</si>
  <si>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</si>
  <si>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</si>
  <si>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</si>
  <si>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</si>
  <si>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</si>
  <si>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Iceland</t>
  </si>
  <si>
    <t>India</t>
  </si>
  <si>
    <t>Indonesia</t>
  </si>
  <si>
    <t>Ireland</t>
  </si>
  <si>
    <t>Isle of Man</t>
  </si>
  <si>
    <t>Israel</t>
  </si>
  <si>
    <t>Italy</t>
  </si>
  <si>
    <t>Jamaica</t>
  </si>
  <si>
    <t>Japan</t>
  </si>
  <si>
    <t>Jersey (States of)</t>
  </si>
  <si>
    <t>Jordan</t>
  </si>
  <si>
    <t>Kazakhstan</t>
  </si>
  <si>
    <t>Kenya</t>
  </si>
  <si>
    <t>Korea</t>
  </si>
  <si>
    <t>Kuwait</t>
  </si>
  <si>
    <t>Latvia</t>
  </si>
  <si>
    <t>Lebanon</t>
  </si>
  <si>
    <t>Liechtenstein</t>
  </si>
  <si>
    <t>Lithuania</t>
  </si>
  <si>
    <t>Luxembourg</t>
  </si>
  <si>
    <t>Macao</t>
  </si>
  <si>
    <t>Macedonia</t>
  </si>
  <si>
    <t>Malaysia</t>
  </si>
  <si>
    <t>Malta</t>
  </si>
  <si>
    <t>Mauritius</t>
  </si>
  <si>
    <t>Mexico</t>
  </si>
  <si>
    <t>Moldova</t>
  </si>
  <si>
    <t>Mongolia</t>
  </si>
  <si>
    <t>Montenegro</t>
  </si>
  <si>
    <t>Montserrat</t>
  </si>
  <si>
    <t>Morocco</t>
  </si>
  <si>
    <t>Mozambique</t>
  </si>
  <si>
    <t>Namibia</t>
  </si>
  <si>
    <t>Netherlands</t>
  </si>
  <si>
    <t>New Zealand</t>
  </si>
  <si>
    <t>Nicaragua</t>
  </si>
  <si>
    <t>Nigeria</t>
  </si>
  <si>
    <t>Norway</t>
  </si>
  <si>
    <t>Oman</t>
  </si>
  <si>
    <t>Pakistan</t>
  </si>
  <si>
    <t>Panama</t>
  </si>
  <si>
    <t>Papua New Guinea</t>
  </si>
  <si>
    <t>Paraguay</t>
  </si>
  <si>
    <t>Peru</t>
  </si>
  <si>
    <t>Philippines</t>
  </si>
  <si>
    <t>Poland</t>
  </si>
  <si>
    <t>Portugal</t>
  </si>
  <si>
    <t>Qatar</t>
  </si>
  <si>
    <t>Ras Al Khaimah (Emirate of)</t>
  </si>
  <si>
    <t>Romania</t>
  </si>
  <si>
    <t>Russia</t>
  </si>
  <si>
    <t>Rwanda</t>
  </si>
  <si>
    <t>Saudi Arabia</t>
  </si>
  <si>
    <t>Senegal</t>
  </si>
  <si>
    <t>Serbia</t>
  </si>
  <si>
    <t>Sharjah</t>
  </si>
  <si>
    <t>Singapore</t>
  </si>
  <si>
    <t>Slovakia</t>
  </si>
  <si>
    <t>Slovenia</t>
  </si>
  <si>
    <t>South Africa</t>
  </si>
  <si>
    <t>Spain</t>
  </si>
  <si>
    <t>Sri Lanka</t>
  </si>
  <si>
    <t>St. Maarten</t>
  </si>
  <si>
    <t>St. Vincent &amp; the Grenadines</t>
  </si>
  <si>
    <t>Suriname</t>
  </si>
  <si>
    <t>Sweden</t>
  </si>
  <si>
    <t>Switzerland</t>
  </si>
  <si>
    <t>Taiwan</t>
  </si>
  <si>
    <t>Thailand</t>
  </si>
  <si>
    <t>Trinidad and Tobago</t>
  </si>
  <si>
    <t>Tunisia</t>
  </si>
  <si>
    <t>Turkey</t>
  </si>
  <si>
    <t>Turks and Caicos Islands</t>
  </si>
  <si>
    <t>Uganda</t>
  </si>
  <si>
    <t>Ukraine</t>
  </si>
  <si>
    <t>United Arab Emirates</t>
  </si>
  <si>
    <t>United Kingdom</t>
  </si>
  <si>
    <t>United States of America</t>
  </si>
  <si>
    <t>Uruguay</t>
  </si>
  <si>
    <t>Vietnam</t>
  </si>
  <si>
    <t>Zambia</t>
  </si>
  <si>
    <t xml:space="preserve"> ( Futuro según nueva norma )</t>
  </si>
  <si>
    <t>Margen Operativo</t>
  </si>
  <si>
    <t>Activo</t>
  </si>
  <si>
    <t>Pasivo</t>
  </si>
  <si>
    <t>Deuda de CP</t>
  </si>
  <si>
    <t>Deuda de LP</t>
  </si>
  <si>
    <t>Cuentas x cobrar</t>
  </si>
  <si>
    <t>Cuentas x pagar</t>
  </si>
  <si>
    <t>2015</t>
  </si>
  <si>
    <t>2014</t>
  </si>
  <si>
    <t>2013</t>
  </si>
  <si>
    <t>2012</t>
  </si>
  <si>
    <t>2011</t>
  </si>
  <si>
    <t>2010</t>
  </si>
  <si>
    <t>2009</t>
  </si>
  <si>
    <t>ROA</t>
  </si>
  <si>
    <t>ROE</t>
  </si>
  <si>
    <t>EBITDA</t>
  </si>
  <si>
    <t>EBITDA/Deuda</t>
  </si>
  <si>
    <t>Corporación Lindley S.A. y subsidiarias</t>
  </si>
  <si>
    <t>Activo Corriente</t>
  </si>
  <si>
    <t>Pasivo Corriente</t>
  </si>
  <si>
    <t>VARICION ANUAL</t>
  </si>
  <si>
    <t>Participaciones no controladoras</t>
  </si>
  <si>
    <t xml:space="preserve">Pasivo No corriente   </t>
  </si>
  <si>
    <t>Estado consolidado de situación financiera (en miles de S/.)</t>
  </si>
  <si>
    <t>RATIOS FINANCIEROS</t>
  </si>
  <si>
    <t>Tasa Efectiva del Impuesto a la Renta</t>
  </si>
  <si>
    <t>Estado Consolidado de Resultados (en miles de S/.)</t>
  </si>
  <si>
    <t>CAPITAL DE TRABAJO</t>
  </si>
  <si>
    <t>ESTADO DE RESULTADO Y BALANCE</t>
  </si>
  <si>
    <t>PROYECCION   -   ESTADO DE RESULTADO Y BALANCES</t>
  </si>
  <si>
    <t>Cuentas por cobrar</t>
  </si>
  <si>
    <t>Inventarios</t>
  </si>
  <si>
    <t>Cuentas por pagar</t>
  </si>
  <si>
    <t>Compras</t>
  </si>
  <si>
    <t>RAZONES DE GESTION</t>
  </si>
  <si>
    <t>PROYECCION  -   RAZONES DE GESTION Y CAPITAL DE TRABAJO</t>
  </si>
  <si>
    <t>FORMULA</t>
  </si>
  <si>
    <t>PROMD</t>
  </si>
  <si>
    <t>Accounts Receivable Turnover</t>
  </si>
  <si>
    <t>Net Sales</t>
  </si>
  <si>
    <t>(Razon de cuentas por cobrar)</t>
  </si>
  <si>
    <t>Average Accounts Receivable</t>
  </si>
  <si>
    <t>Day´s Sales in Receivables</t>
  </si>
  <si>
    <t>(Periodo promedio de cobro)</t>
  </si>
  <si>
    <t>Average Daily Sales</t>
  </si>
  <si>
    <t>Inventory Turnover</t>
  </si>
  <si>
    <t>Cost of Goods Sold</t>
  </si>
  <si>
    <t>(Rotacion de inventario)</t>
  </si>
  <si>
    <t>Average Inventory</t>
  </si>
  <si>
    <t>Day´s Sales in Inventory</t>
  </si>
  <si>
    <t>(Periodo promedio de inventario)</t>
  </si>
  <si>
    <t>Average Daily Cost of Goods Sold</t>
  </si>
  <si>
    <t>Accounts Payable Turnover Ratio</t>
  </si>
  <si>
    <t>Supplier Purchases</t>
  </si>
  <si>
    <t>(Razon de cuentas por pagar)</t>
  </si>
  <si>
    <t>Average Accounts Payable</t>
  </si>
  <si>
    <t>Days Payable Outstanding</t>
  </si>
  <si>
    <t>(Periodo promedio de pago)</t>
  </si>
  <si>
    <t>Ciclo Operativo (Dias)</t>
  </si>
  <si>
    <t xml:space="preserve">Day´s Sales in Receivables + </t>
  </si>
  <si>
    <t>Ciclo de efectivo</t>
  </si>
  <si>
    <t>Ciclo Operativo- Days Payable Outstanding</t>
  </si>
  <si>
    <t>Working Capital</t>
  </si>
  <si>
    <t>Current Assets   -   Current Liabilities</t>
  </si>
  <si>
    <t>(Capital de Trabajo)</t>
  </si>
  <si>
    <t>Incremento en Capital de Trabajo</t>
  </si>
  <si>
    <t>COMPROBACION INDICADORES</t>
  </si>
  <si>
    <t>PROM</t>
  </si>
  <si>
    <t>Costos de Produccion</t>
  </si>
  <si>
    <t xml:space="preserve">Gastos administracion </t>
  </si>
  <si>
    <t>Gastos Ventas</t>
  </si>
  <si>
    <t>Tasa de Impuestos</t>
  </si>
  <si>
    <t>Activos Fijos</t>
  </si>
  <si>
    <t>Depreciacion</t>
  </si>
  <si>
    <t>Capital de trabajo</t>
  </si>
  <si>
    <t>Gastos de Administracion</t>
  </si>
  <si>
    <t>Gastos de Ventas</t>
  </si>
  <si>
    <t>(+) Beneficios despues de impuestos</t>
  </si>
  <si>
    <t>%  Rentabilidad Operativa</t>
  </si>
  <si>
    <t>(+) Depreciación del periodo</t>
  </si>
  <si>
    <t>(-) Inversiones CAPEX</t>
  </si>
  <si>
    <t>Flujo de Caja Libre  (FCFF)</t>
  </si>
  <si>
    <t>Valor terminal</t>
  </si>
  <si>
    <t>VPFF</t>
  </si>
  <si>
    <t>V. Patrimonial</t>
  </si>
  <si>
    <t>V.P. Terminal</t>
  </si>
  <si>
    <t>(+)Cash</t>
  </si>
  <si>
    <t>(-) Deuda</t>
  </si>
  <si>
    <t>Para proyectar el capital de trabajo se usa los indicadores de gestion entre 2010 y 2015, el promedio de 5 años se usara como base para la proyeccion , los resultados son:</t>
  </si>
  <si>
    <t>SUPUESTOS FLUJO DE CAJA LINDLEY</t>
  </si>
  <si>
    <t>UNIVERSIDAD DEL PACIFICO</t>
  </si>
  <si>
    <t>VALORIZACION -  CORPORACION LINDLEY</t>
  </si>
  <si>
    <t>INTEGRANTES</t>
  </si>
  <si>
    <t xml:space="preserve"> - SU LAY, CHERYL YUEENYI</t>
  </si>
  <si>
    <t xml:space="preserve"> - ENRIQUEZ ALMONTE, JORGE ARMANDO</t>
  </si>
  <si>
    <t xml:space="preserve"> - CHAMPAC FLORES, ERIC MIGUEL</t>
  </si>
  <si>
    <t>Deterioro de activo fijo</t>
  </si>
  <si>
    <t>Deuda</t>
  </si>
  <si>
    <t>% Deuda</t>
  </si>
  <si>
    <t>Obligaciones financieras según EEFF</t>
  </si>
  <si>
    <t>Deuda al 2015</t>
  </si>
  <si>
    <t>Calculo del Costo de la Deuda - Kd</t>
  </si>
  <si>
    <t>Costo de Financiamiento Bonos Largo Plazo</t>
  </si>
  <si>
    <t>( A DIC 2015 )</t>
  </si>
  <si>
    <t>TOTAL</t>
  </si>
  <si>
    <t>Columna1</t>
  </si>
  <si>
    <t>Dias de inventario</t>
  </si>
  <si>
    <t>Dias de cobro</t>
  </si>
  <si>
    <t>Dias de pago</t>
  </si>
  <si>
    <t>Gaseosas</t>
  </si>
  <si>
    <t>Agua</t>
  </si>
  <si>
    <t>Isotónicos</t>
  </si>
  <si>
    <t>Jugos</t>
  </si>
  <si>
    <t>TOTAL VENTAS</t>
  </si>
  <si>
    <t>1.2 Costo de capital actual (Ke)</t>
  </si>
  <si>
    <t>1.3 Calculo del Beta - CAPM - Valor terminal</t>
  </si>
  <si>
    <t>Factor</t>
  </si>
  <si>
    <t>Fuente: Ministerio de Producción. Guía de Negocios e Inversión en el Perú 2015-2016</t>
  </si>
  <si>
    <t>Consumo per cápita de bebidas Perú (litros)</t>
  </si>
  <si>
    <t>Tasa de crecimiento Consumo per Cápita Perú</t>
  </si>
  <si>
    <t>Estimaciones y proyecciones de población</t>
  </si>
  <si>
    <t>Población INEI</t>
  </si>
  <si>
    <t>Tasa crecimiento (%)</t>
  </si>
  <si>
    <t>PRODUCCION TOTAL DEL SECTOR (litros)</t>
  </si>
  <si>
    <t>Participacion del mercado Lindley</t>
  </si>
  <si>
    <t>Lindley mantendra su participacion entre 70% y 75%</t>
  </si>
  <si>
    <t>Dimensionamiento del mercado de Lindley (litros)</t>
  </si>
  <si>
    <t>Elasticidad Crecimiento volúmenes / % Var PIB</t>
  </si>
  <si>
    <t>Var% PIB</t>
  </si>
  <si>
    <t>2016E</t>
  </si>
  <si>
    <t>2017E</t>
  </si>
  <si>
    <t>2018E</t>
  </si>
  <si>
    <t>2019E</t>
  </si>
  <si>
    <t>2020E</t>
  </si>
  <si>
    <t>Perú</t>
  </si>
  <si>
    <t>CONVERSION CAJA A LITROS</t>
  </si>
  <si>
    <t>1 Caja es el equivalente a 24 botellas de 8 onzas liquidas</t>
  </si>
  <si>
    <r>
      <t xml:space="preserve">Una onza liquida : 29,5735295625 ml o </t>
    </r>
    <r>
      <rPr>
        <b/>
        <sz val="10"/>
        <rFont val="Arial"/>
        <family val="2"/>
      </rPr>
      <t>0,0295735295625 litros</t>
    </r>
  </si>
  <si>
    <t>Una caja unitaria = 24 x 8 x 0,0295735295625 litros</t>
  </si>
  <si>
    <t>Una caja unitaria =</t>
  </si>
  <si>
    <t>Litros</t>
  </si>
  <si>
    <t>Volumen de Ventas (Millones de Cajas Unitarias)</t>
  </si>
  <si>
    <t>Gaseosa</t>
  </si>
  <si>
    <t>Nectares</t>
  </si>
  <si>
    <t>Isotonico</t>
  </si>
  <si>
    <t>Volumen de Ventas (Millones de litros)</t>
  </si>
  <si>
    <t>CALCULO PRECIO UNITARIO X LITRO</t>
  </si>
  <si>
    <t>Ventas NETAS (Millones de Soles)</t>
  </si>
  <si>
    <t>FUENTE: Memorias Lindley</t>
  </si>
  <si>
    <t>Ventas NETAS (% participacion)</t>
  </si>
  <si>
    <t>Venta Bruta</t>
  </si>
  <si>
    <t>Menos descuentos %</t>
  </si>
  <si>
    <t>Ventas Netas</t>
  </si>
  <si>
    <t>FUENTE: Estados Financieros Lindley</t>
  </si>
  <si>
    <t>Descuentos</t>
  </si>
  <si>
    <t>Descuentos %</t>
  </si>
  <si>
    <t>B. ESTIMACIONES Y PROYECCIONES DE POBLACIÓN</t>
  </si>
  <si>
    <t>3.20    POBLACIÓN ESTIMADA Y PROYECTADA POR SEXO Y TASA DE</t>
  </si>
  <si>
    <t xml:space="preserve">   CRECIMIENTO, SEGÚN AÑOS CALENDARIOS, 2000 - 2050</t>
  </si>
  <si>
    <t>Años</t>
  </si>
  <si>
    <t>Población</t>
  </si>
  <si>
    <t>Tasa de crecimiento media de la población total (por cien)</t>
  </si>
  <si>
    <t>Total</t>
  </si>
  <si>
    <t>Hombres</t>
  </si>
  <si>
    <t>Mujeres</t>
  </si>
  <si>
    <t>Periodo 
Quinquenal</t>
  </si>
  <si>
    <t>Periodo 
Anual</t>
  </si>
  <si>
    <t>Fuente: Instituto Nacional de Estadística e Informática (INEI) - Perú: Estimaciones y Proyecciones de Población, 1950 - 2050. Boletín de Análisis Demográfico N° 36.</t>
  </si>
  <si>
    <t>Alimentos y Bebidas no Alcohólicas, Bebidas No Alcohólicas, Elaboración de bebidas gaseosas con dulce, Elaboración de bebidas gaseosas sin dulce, Elaboración de agua embotellada de mesa, Elaboración de agua en botellones</t>
  </si>
  <si>
    <t>Ámbito</t>
  </si>
  <si>
    <t>Indicador</t>
  </si>
  <si>
    <t>Unidad</t>
  </si>
  <si>
    <t>1995</t>
  </si>
  <si>
    <t>1996</t>
  </si>
  <si>
    <t>1997</t>
  </si>
  <si>
    <t>1998</t>
  </si>
  <si>
    <t>1999</t>
  </si>
  <si>
    <t>2000</t>
  </si>
  <si>
    <t>2001</t>
  </si>
  <si>
    <t>2002</t>
  </si>
  <si>
    <t>2003</t>
  </si>
  <si>
    <t>2004</t>
  </si>
  <si>
    <t>2005</t>
  </si>
  <si>
    <t>2006</t>
  </si>
  <si>
    <t>2007</t>
  </si>
  <si>
    <t>2008</t>
  </si>
  <si>
    <t xml:space="preserve">Total Nacional                                    </t>
  </si>
  <si>
    <t>Alimentos y Bebidas no Alcohólicas</t>
  </si>
  <si>
    <t>Indice</t>
  </si>
  <si>
    <t>Bebidas No Alcohólicas</t>
  </si>
  <si>
    <t>Elaboración de bebidas gaseosas con dulce</t>
  </si>
  <si>
    <t>Miles de litros</t>
  </si>
  <si>
    <t>Elaboración de bebidas gaseosas sin dulce</t>
  </si>
  <si>
    <t>Elaboración de agua embotellada de mesa</t>
  </si>
  <si>
    <t>Elaboración de agua en botellones</t>
  </si>
  <si>
    <t>Fuente(s):</t>
  </si>
  <si>
    <t>Instituto Nacional de Estadística e Informática (INEI)</t>
  </si>
  <si>
    <t>Ministerio de la Producción - Ministerio de Agricultura</t>
  </si>
  <si>
    <t>CORPORACION LINDLEY S.A</t>
  </si>
  <si>
    <t>PERFIL DE LA EMPRESA</t>
  </si>
  <si>
    <t>Fundacion</t>
  </si>
  <si>
    <t>Ubicación</t>
  </si>
  <si>
    <t>Jr. Cajamarca Nº 371, Rímac, Lima PERU</t>
  </si>
  <si>
    <t>Sector</t>
  </si>
  <si>
    <t>Industrial, produccion de alimentos y bebidas</t>
  </si>
  <si>
    <t>Rama</t>
  </si>
  <si>
    <t>Elaboracion de bebidas no alcoholicas</t>
  </si>
  <si>
    <t>Descripcion</t>
  </si>
  <si>
    <t xml:space="preserve">Su actividad es la elaboración, embotellamiento, distribución y venta de bebidas no alcohólicas, aguas gasificadas, jugos de pulpas y néctares de frutas de las marcas de propiedad  The Coca-Cola Company y propias como Inka kola. </t>
  </si>
  <si>
    <t xml:space="preserve">Productos: </t>
  </si>
  <si>
    <t>Direccion Internet</t>
  </si>
  <si>
    <t>www.lindley.pe</t>
  </si>
  <si>
    <t>Accionistas</t>
  </si>
  <si>
    <t>The Coca Cola Company</t>
  </si>
  <si>
    <t>39%  (Participacion)</t>
  </si>
  <si>
    <t>Arca Continental</t>
  </si>
  <si>
    <t>60%  (Participacion)</t>
  </si>
  <si>
    <t>2%     (Participacion)</t>
  </si>
  <si>
    <t>Numero de Accciones</t>
  </si>
  <si>
    <t>(En circulacion)</t>
  </si>
  <si>
    <t>Dividendos por accion</t>
  </si>
  <si>
    <t>Valor de Capitalizacion</t>
  </si>
  <si>
    <t>Indicadores Financieros</t>
  </si>
  <si>
    <t>Bonos Corporativos Internacionales</t>
  </si>
  <si>
    <t>ISIN/Idetif.</t>
  </si>
  <si>
    <t>VALORIZACION</t>
  </si>
  <si>
    <t>INVENTARIO</t>
  </si>
  <si>
    <t>Mercaderías</t>
  </si>
  <si>
    <t>Productos terminados</t>
  </si>
  <si>
    <t>Productos en proceso</t>
  </si>
  <si>
    <t>Materias primas y auxiliares</t>
  </si>
  <si>
    <t>Estructura Costo de Produccion 2015</t>
  </si>
  <si>
    <t>Envases y embalajes</t>
  </si>
  <si>
    <t>Formula (Concentrado)</t>
  </si>
  <si>
    <t>Repuestos y suministros diversos</t>
  </si>
  <si>
    <t>Azucar</t>
  </si>
  <si>
    <t>Inventarios por recibir</t>
  </si>
  <si>
    <t>Botella PET</t>
  </si>
  <si>
    <t>Otros menores</t>
  </si>
  <si>
    <t>Tapa PET</t>
  </si>
  <si>
    <t>Desvalorización de inventarios (b)</t>
  </si>
  <si>
    <t>TOTAL INVENTARIOS</t>
  </si>
  <si>
    <t>Inventario inicial de productos terminados, en proceso y mercaderías</t>
  </si>
  <si>
    <t>Sub Total</t>
  </si>
  <si>
    <t>Compras de concentrado</t>
  </si>
  <si>
    <t>Depreciación</t>
  </si>
  <si>
    <t>Azucar, botella, tapa</t>
  </si>
  <si>
    <t>Amortización</t>
  </si>
  <si>
    <t>Menos: Inventario final de productos terminados, en proceso y mercaderías</t>
  </si>
  <si>
    <t>ESTRUCTURA DE COSTOS</t>
  </si>
  <si>
    <t>Concentrado</t>
  </si>
  <si>
    <t>Inventario inicial de productos terminados, en proceso y mercaderías, nota 7</t>
  </si>
  <si>
    <t>Depreciación, nota 10(d)</t>
  </si>
  <si>
    <t>Amortización, nota 11(b)</t>
  </si>
  <si>
    <t>Menos: Inventario final de productos terminados, en proceso y mercaderías, nota 7</t>
  </si>
  <si>
    <t>PROPIEDAD, PLANTA Y EQUIPO</t>
  </si>
  <si>
    <t>La depreciación es calculada siguiendo el método de línea recta estimando las siguientes vidas útiles:</t>
  </si>
  <si>
    <t>Flujo de Efectivo</t>
  </si>
  <si>
    <t>Depreciacion Total</t>
  </si>
  <si>
    <t>Edificios y otras construcciones</t>
  </si>
  <si>
    <t>40 a 80</t>
  </si>
  <si>
    <t>Saldo Inicial</t>
  </si>
  <si>
    <t>Maquinaria y equipo</t>
  </si>
  <si>
    <t>5 a 50</t>
  </si>
  <si>
    <t>Propiedades de Inversion</t>
  </si>
  <si>
    <t>Adiciones / Inversiones</t>
  </si>
  <si>
    <t>Muebles y enseres</t>
  </si>
  <si>
    <t>4 a 30</t>
  </si>
  <si>
    <t>Propiedad, planta y equipo</t>
  </si>
  <si>
    <t>Unidades de transporte</t>
  </si>
  <si>
    <t>5 a 33</t>
  </si>
  <si>
    <t>Ventas /retiros</t>
  </si>
  <si>
    <t>Botellas y cajas</t>
  </si>
  <si>
    <t>2.5 a 4</t>
  </si>
  <si>
    <t>Ajustes</t>
  </si>
  <si>
    <t>Equipos de cómputo y diversos</t>
  </si>
  <si>
    <t>Depreciacion %</t>
  </si>
  <si>
    <t>COSTO</t>
  </si>
  <si>
    <t>DEPRECIACION</t>
  </si>
  <si>
    <t>AJUSTES</t>
  </si>
  <si>
    <t>NETO 2010</t>
  </si>
  <si>
    <t>OBSERVACION</t>
  </si>
  <si>
    <t>Adiciones</t>
  </si>
  <si>
    <t>Transferencias</t>
  </si>
  <si>
    <t>Depreciacion del Año</t>
  </si>
  <si>
    <t>Venta /retiros</t>
  </si>
  <si>
    <t>Costo de Venta</t>
  </si>
  <si>
    <t>Terrenos</t>
  </si>
  <si>
    <t xml:space="preserve"> - En el año 2010, Lindley realizó la adquisición de diversos activos para el acondicionamiento y remodelación de las plantas Callao y Huacho; asimismo efectuó compras significativas de botellas de vidrio y plástico retornable.</t>
  </si>
  <si>
    <t>Gasto de Ventas</t>
  </si>
  <si>
    <t>Gasto de Administracion</t>
  </si>
  <si>
    <t>Otros ingresos y gastos operativos</t>
  </si>
  <si>
    <t>Ventas /Retiros</t>
  </si>
  <si>
    <t xml:space="preserve"> - Las adiciones de obras en curso del año 2010 corresponden a la implementación de nuevas líneas de envasado para botellas de vidrio retornable Krones en la planta del Callao y de Hotfill en Zarate.</t>
  </si>
  <si>
    <t xml:space="preserve"> - Las adiciones en unidades por recibir del año 2010 están referidas a la adquisición de equipos de frío (visicooler), los cuales son cedidos a los distribuidores para la comercialización de los productos</t>
  </si>
  <si>
    <t>Unidades de reemplazo</t>
  </si>
  <si>
    <t>Trabajos en curso</t>
  </si>
  <si>
    <t>Unidades por recibir</t>
  </si>
  <si>
    <t>NETO 2011</t>
  </si>
  <si>
    <t>En respuesta a su necesidad de ampliación de capacidad de producción,  comprenden el acondicionamiento y remodelación de las plantas Callao, Trujillo y Huacho; asimismo compras significativas de botellas de vidrio y plástico retornable para la mayor circulación de los productos que elabora, como resultado de la mayor demanda del mercado, y equipos de frío como parte de su plan de expansión.</t>
  </si>
  <si>
    <t>Adiciones (b)</t>
  </si>
  <si>
    <t>NETO 2012</t>
  </si>
  <si>
    <t>En el 2012, se inaugura la mega planta de Trujillo, con una inversión de S/.321,221,000, que permitirá la ampliación de la capacidad de producción de 19 a 47 millones de litros de bebidas producidas en el mes. Esta inversión tiene como fin abastecer a la región norte del país y reemplazar a las antiguas plantas de Trujillo y Sullana</t>
  </si>
  <si>
    <t>Las adiciones del año 2012 incluyen S/.45,759,000 correspondiente al valor del terreno ubicado en Pucusana incorporado como parte de la fusión por absorción de CIPSA en mayo de 2012. Este terreno se utilizará para el desarrollo del proyecto de construcción de la mega planta y oficinas administrativas,</t>
  </si>
  <si>
    <t>NETO 2013</t>
  </si>
  <si>
    <t>Proyectos de mejoras en sus plantas, en respuesta a su necesidad de ampliación de capacidad de producción, comprenden el acondicionamiento y remodelación de las plantas de Arequipa, Cuzco, Huacho y Zárate</t>
  </si>
  <si>
    <t>Las principales adquisiciones del periodo 2013 incluyen además de los costos incurridos en la construcción de la mega planta de Pucusana, la construcción de un almacén automatizado en Trujillo con tegnologia de punta</t>
  </si>
  <si>
    <t>NETO 2014</t>
  </si>
  <si>
    <t>-</t>
  </si>
  <si>
    <t>Al 31 de diciembre de 2014, las principales adiciones además de la continuación de los trabajos en curso por construcción de la mega planta de Pucusana, corresponden a la compra de inmuebles ubicados en Villa el Salvador y Huachipa.</t>
  </si>
  <si>
    <t>La Compañía vendió un bien inmueble ubicado en La Molina, el cual tenía un costo neto de S/.28,539,000, a un precio de US$13,247,000, equivalente a S/.39,594,000.</t>
  </si>
  <si>
    <t>NETO 2015</t>
  </si>
  <si>
    <t>PRECIO AZUCAR Y PETROLEO</t>
  </si>
  <si>
    <t>http://www.indexmundi.com/es/precios-de-mercado/?mercancia=azucar&amp;meses=360</t>
  </si>
  <si>
    <t>Petroleo</t>
  </si>
  <si>
    <t>http://www.indexmundi.com/es/precios-de-mercado/?mercancia=petroleo-crudo&amp;meses=360</t>
  </si>
  <si>
    <t>1Tn =</t>
  </si>
  <si>
    <t>Lb</t>
  </si>
  <si>
    <t>cUSD</t>
  </si>
  <si>
    <t>2204.62Lb</t>
  </si>
  <si>
    <t>1 USD</t>
  </si>
  <si>
    <t>1USD =</t>
  </si>
  <si>
    <t>1Tn</t>
  </si>
  <si>
    <t>100cUSD</t>
  </si>
  <si>
    <t>Mes</t>
  </si>
  <si>
    <t>Precio Azúcar - centavos de dólar por libra</t>
  </si>
  <si>
    <t>Precio Azúcar - Dolar por Tonelada</t>
  </si>
  <si>
    <t>Precio Petróleo crudo - Dólares americanos por barril</t>
  </si>
  <si>
    <t>AÑO</t>
  </si>
  <si>
    <t>mar. 1986</t>
  </si>
  <si>
    <t>abr. 1986</t>
  </si>
  <si>
    <t>may. 1986</t>
  </si>
  <si>
    <t>jun. 1986</t>
  </si>
  <si>
    <t>jul. 1986</t>
  </si>
  <si>
    <t>ago. 1986</t>
  </si>
  <si>
    <t>sep. 1986</t>
  </si>
  <si>
    <t>oct. 1986</t>
  </si>
  <si>
    <t>nov. 1986</t>
  </si>
  <si>
    <t>dic. 1986</t>
  </si>
  <si>
    <t>ene. 1987</t>
  </si>
  <si>
    <t>feb. 1987</t>
  </si>
  <si>
    <t>mar. 1987</t>
  </si>
  <si>
    <t>abr. 1987</t>
  </si>
  <si>
    <t>may. 1987</t>
  </si>
  <si>
    <t>jun. 1987</t>
  </si>
  <si>
    <t>jul. 1987</t>
  </si>
  <si>
    <t>ago. 1987</t>
  </si>
  <si>
    <t>sep. 1987</t>
  </si>
  <si>
    <t>oct. 1987</t>
  </si>
  <si>
    <t>nov. 1987</t>
  </si>
  <si>
    <t>dic. 1987</t>
  </si>
  <si>
    <t>ene. 1988</t>
  </si>
  <si>
    <t>feb. 1988</t>
  </si>
  <si>
    <t>mar. 1988</t>
  </si>
  <si>
    <t>abr. 1988</t>
  </si>
  <si>
    <t>may. 1988</t>
  </si>
  <si>
    <t>jun. 1988</t>
  </si>
  <si>
    <t>jul. 1988</t>
  </si>
  <si>
    <t>ago. 1988</t>
  </si>
  <si>
    <t>sep. 1988</t>
  </si>
  <si>
    <t>oct. 1988</t>
  </si>
  <si>
    <t>nov. 1988</t>
  </si>
  <si>
    <t>dic. 1988</t>
  </si>
  <si>
    <t>ene. 1989</t>
  </si>
  <si>
    <t>feb. 1989</t>
  </si>
  <si>
    <t>mar. 1989</t>
  </si>
  <si>
    <t>abr. 1989</t>
  </si>
  <si>
    <t>may. 1989</t>
  </si>
  <si>
    <t>jun. 1989</t>
  </si>
  <si>
    <t>jul. 1989</t>
  </si>
  <si>
    <t>ago. 1989</t>
  </si>
  <si>
    <t>sep. 1989</t>
  </si>
  <si>
    <t>oct. 1989</t>
  </si>
  <si>
    <t>nov. 1989</t>
  </si>
  <si>
    <t>dic. 1989</t>
  </si>
  <si>
    <t>ene. 1990</t>
  </si>
  <si>
    <t>feb. 1990</t>
  </si>
  <si>
    <t>mar. 1990</t>
  </si>
  <si>
    <t>abr. 1990</t>
  </si>
  <si>
    <t>may. 1990</t>
  </si>
  <si>
    <t>jun. 1990</t>
  </si>
  <si>
    <t>jul. 1990</t>
  </si>
  <si>
    <t>ago. 1990</t>
  </si>
  <si>
    <t>sep. 1990</t>
  </si>
  <si>
    <t>oct. 1990</t>
  </si>
  <si>
    <t>nov. 1990</t>
  </si>
  <si>
    <t>dic. 1990</t>
  </si>
  <si>
    <t>ene. 1991</t>
  </si>
  <si>
    <t>feb. 1991</t>
  </si>
  <si>
    <t>mar. 1991</t>
  </si>
  <si>
    <t>abr. 1991</t>
  </si>
  <si>
    <t>may. 1991</t>
  </si>
  <si>
    <t>jun. 1991</t>
  </si>
  <si>
    <t>jul. 1991</t>
  </si>
  <si>
    <t>ago. 1991</t>
  </si>
  <si>
    <t>sep. 1991</t>
  </si>
  <si>
    <t>oct. 1991</t>
  </si>
  <si>
    <t>nov. 1991</t>
  </si>
  <si>
    <t>dic. 1991</t>
  </si>
  <si>
    <t>ene. 1992</t>
  </si>
  <si>
    <t>feb. 1992</t>
  </si>
  <si>
    <t>mar. 1992</t>
  </si>
  <si>
    <t>abr. 1992</t>
  </si>
  <si>
    <t>may. 1992</t>
  </si>
  <si>
    <t>jun. 1992</t>
  </si>
  <si>
    <t>jul. 1992</t>
  </si>
  <si>
    <t>ago. 1992</t>
  </si>
  <si>
    <t>sep. 1992</t>
  </si>
  <si>
    <t>oct. 1992</t>
  </si>
  <si>
    <t>nov. 1992</t>
  </si>
  <si>
    <t>dic. 1992</t>
  </si>
  <si>
    <t>ene. 1993</t>
  </si>
  <si>
    <t>feb. 1993</t>
  </si>
  <si>
    <t>mar. 1993</t>
  </si>
  <si>
    <t>abr. 1993</t>
  </si>
  <si>
    <t>may. 1993</t>
  </si>
  <si>
    <t>jun. 1993</t>
  </si>
  <si>
    <t>jul. 1993</t>
  </si>
  <si>
    <t>ago. 1993</t>
  </si>
  <si>
    <t>sep. 1993</t>
  </si>
  <si>
    <t>oct. 1993</t>
  </si>
  <si>
    <t>nov. 1993</t>
  </si>
  <si>
    <t>dic. 1993</t>
  </si>
  <si>
    <t>ene. 1994</t>
  </si>
  <si>
    <t>feb. 1994</t>
  </si>
  <si>
    <t>mar. 1994</t>
  </si>
  <si>
    <t>abr. 1994</t>
  </si>
  <si>
    <t>may. 1994</t>
  </si>
  <si>
    <t>jun. 1994</t>
  </si>
  <si>
    <t>jul. 1994</t>
  </si>
  <si>
    <t>ago. 1994</t>
  </si>
  <si>
    <t>sep. 1994</t>
  </si>
  <si>
    <t>oct. 1994</t>
  </si>
  <si>
    <t>nov. 1994</t>
  </si>
  <si>
    <t>dic. 1994</t>
  </si>
  <si>
    <t>ene. 1995</t>
  </si>
  <si>
    <t>feb. 1995</t>
  </si>
  <si>
    <t>mar. 1995</t>
  </si>
  <si>
    <t>abr. 1995</t>
  </si>
  <si>
    <t>may. 1995</t>
  </si>
  <si>
    <t>jun. 1995</t>
  </si>
  <si>
    <t>jul. 1995</t>
  </si>
  <si>
    <t>ago. 1995</t>
  </si>
  <si>
    <t>sep. 1995</t>
  </si>
  <si>
    <t>oct. 1995</t>
  </si>
  <si>
    <t>nov. 1995</t>
  </si>
  <si>
    <t>dic. 1995</t>
  </si>
  <si>
    <t>ene. 1996</t>
  </si>
  <si>
    <t>feb. 1996</t>
  </si>
  <si>
    <t>mar. 1996</t>
  </si>
  <si>
    <t>abr. 1996</t>
  </si>
  <si>
    <t>may. 1996</t>
  </si>
  <si>
    <t>jun. 1996</t>
  </si>
  <si>
    <t>jul. 1996</t>
  </si>
  <si>
    <t>ago. 1996</t>
  </si>
  <si>
    <t>sep. 1996</t>
  </si>
  <si>
    <t>oct. 1996</t>
  </si>
  <si>
    <t>nov. 1996</t>
  </si>
  <si>
    <t>dic. 1996</t>
  </si>
  <si>
    <t>ene. 1997</t>
  </si>
  <si>
    <t>feb. 1997</t>
  </si>
  <si>
    <t>mar. 1997</t>
  </si>
  <si>
    <t>abr. 1997</t>
  </si>
  <si>
    <t>may. 1997</t>
  </si>
  <si>
    <t>jun. 1997</t>
  </si>
  <si>
    <t>jul. 1997</t>
  </si>
  <si>
    <t>ago. 1997</t>
  </si>
  <si>
    <t>sep. 1997</t>
  </si>
  <si>
    <t>oct. 1997</t>
  </si>
  <si>
    <t>nov. 1997</t>
  </si>
  <si>
    <t>dic. 1997</t>
  </si>
  <si>
    <t>ene. 1998</t>
  </si>
  <si>
    <t>feb. 1998</t>
  </si>
  <si>
    <t>mar. 1998</t>
  </si>
  <si>
    <t>abr. 1998</t>
  </si>
  <si>
    <t>may. 1998</t>
  </si>
  <si>
    <t>jun. 1998</t>
  </si>
  <si>
    <t>jul. 1998</t>
  </si>
  <si>
    <t>ago. 1998</t>
  </si>
  <si>
    <t>sep. 1998</t>
  </si>
  <si>
    <t>oct. 1998</t>
  </si>
  <si>
    <t>nov. 1998</t>
  </si>
  <si>
    <t>dic. 1998</t>
  </si>
  <si>
    <t>ene. 1999</t>
  </si>
  <si>
    <t>feb. 1999</t>
  </si>
  <si>
    <t>mar. 1999</t>
  </si>
  <si>
    <t>abr. 1999</t>
  </si>
  <si>
    <t>may. 1999</t>
  </si>
  <si>
    <t>jun. 1999</t>
  </si>
  <si>
    <t>jul. 1999</t>
  </si>
  <si>
    <t>ago. 1999</t>
  </si>
  <si>
    <t>sep. 1999</t>
  </si>
  <si>
    <t>oct. 1999</t>
  </si>
  <si>
    <t>nov. 1999</t>
  </si>
  <si>
    <t>dic. 1999</t>
  </si>
  <si>
    <t>ene. 2000</t>
  </si>
  <si>
    <t>feb. 2000</t>
  </si>
  <si>
    <t>mar. 2000</t>
  </si>
  <si>
    <t>abr. 2000</t>
  </si>
  <si>
    <t>may. 2000</t>
  </si>
  <si>
    <t>jun. 2000</t>
  </si>
  <si>
    <t>jul. 2000</t>
  </si>
  <si>
    <t>ago. 2000</t>
  </si>
  <si>
    <t>sep. 2000</t>
  </si>
  <si>
    <t>oct. 2000</t>
  </si>
  <si>
    <t>nov. 2000</t>
  </si>
  <si>
    <t>dic. 2000</t>
  </si>
  <si>
    <t>ene. 2001</t>
  </si>
  <si>
    <t>feb. 2001</t>
  </si>
  <si>
    <t>mar. 2001</t>
  </si>
  <si>
    <t>abr. 2001</t>
  </si>
  <si>
    <t>may. 2001</t>
  </si>
  <si>
    <t>jun. 2001</t>
  </si>
  <si>
    <t>jul. 2001</t>
  </si>
  <si>
    <t>ago. 2001</t>
  </si>
  <si>
    <t>sep. 2001</t>
  </si>
  <si>
    <t>oct. 2001</t>
  </si>
  <si>
    <t>nov. 2001</t>
  </si>
  <si>
    <t>dic. 2001</t>
  </si>
  <si>
    <t>ene. 2002</t>
  </si>
  <si>
    <t>feb. 2002</t>
  </si>
  <si>
    <t>mar. 2002</t>
  </si>
  <si>
    <t>abr. 2002</t>
  </si>
  <si>
    <t>may. 2002</t>
  </si>
  <si>
    <t>jun. 2002</t>
  </si>
  <si>
    <t>jul. 2002</t>
  </si>
  <si>
    <t>ago. 2002</t>
  </si>
  <si>
    <t>sep. 2002</t>
  </si>
  <si>
    <t>oct. 2002</t>
  </si>
  <si>
    <t>nov. 2002</t>
  </si>
  <si>
    <t>dic. 2002</t>
  </si>
  <si>
    <t>ene. 2003</t>
  </si>
  <si>
    <t>feb. 2003</t>
  </si>
  <si>
    <t>mar. 2003</t>
  </si>
  <si>
    <t>abr. 2003</t>
  </si>
  <si>
    <t>may. 2003</t>
  </si>
  <si>
    <t>jun. 2003</t>
  </si>
  <si>
    <t>jul. 2003</t>
  </si>
  <si>
    <t>ago. 2003</t>
  </si>
  <si>
    <t>sep. 2003</t>
  </si>
  <si>
    <t>oct. 2003</t>
  </si>
  <si>
    <t>nov. 2003</t>
  </si>
  <si>
    <t>dic. 2003</t>
  </si>
  <si>
    <t>ene. 2004</t>
  </si>
  <si>
    <t>feb. 2004</t>
  </si>
  <si>
    <t>mar. 2004</t>
  </si>
  <si>
    <t>abr. 2004</t>
  </si>
  <si>
    <t>may. 2004</t>
  </si>
  <si>
    <t>jun. 2004</t>
  </si>
  <si>
    <t>jul. 2004</t>
  </si>
  <si>
    <t>ago. 2004</t>
  </si>
  <si>
    <t>sep. 2004</t>
  </si>
  <si>
    <t>oct. 2004</t>
  </si>
  <si>
    <t>nov. 2004</t>
  </si>
  <si>
    <t>dic. 2004</t>
  </si>
  <si>
    <t>ene. 2005</t>
  </si>
  <si>
    <t>feb. 2005</t>
  </si>
  <si>
    <t>mar. 2005</t>
  </si>
  <si>
    <t>abr. 2005</t>
  </si>
  <si>
    <t>may. 2005</t>
  </si>
  <si>
    <t>jun. 2005</t>
  </si>
  <si>
    <t>jul. 2005</t>
  </si>
  <si>
    <t>ago. 2005</t>
  </si>
  <si>
    <t>sep. 2005</t>
  </si>
  <si>
    <t>oct. 2005</t>
  </si>
  <si>
    <t>nov. 2005</t>
  </si>
  <si>
    <t>dic. 2005</t>
  </si>
  <si>
    <t>ene. 2006</t>
  </si>
  <si>
    <t>feb. 2006</t>
  </si>
  <si>
    <t>mar. 2006</t>
  </si>
  <si>
    <t>abr. 2006</t>
  </si>
  <si>
    <t>may. 2006</t>
  </si>
  <si>
    <t>jun. 2006</t>
  </si>
  <si>
    <t>jul. 2006</t>
  </si>
  <si>
    <t>ago. 2006</t>
  </si>
  <si>
    <t>sep. 2006</t>
  </si>
  <si>
    <t>oct. 2006</t>
  </si>
  <si>
    <t>nov. 2006</t>
  </si>
  <si>
    <t>dic. 2006</t>
  </si>
  <si>
    <t>ene. 2007</t>
  </si>
  <si>
    <t>feb. 2007</t>
  </si>
  <si>
    <t>mar. 2007</t>
  </si>
  <si>
    <t>abr. 2007</t>
  </si>
  <si>
    <t>may. 2007</t>
  </si>
  <si>
    <t>jun. 2007</t>
  </si>
  <si>
    <t>jul. 2007</t>
  </si>
  <si>
    <t>ago. 2007</t>
  </si>
  <si>
    <t>sep. 2007</t>
  </si>
  <si>
    <t>oct. 2007</t>
  </si>
  <si>
    <t>nov. 2007</t>
  </si>
  <si>
    <t>dic. 2007</t>
  </si>
  <si>
    <t>ene. 2008</t>
  </si>
  <si>
    <t>feb. 2008</t>
  </si>
  <si>
    <t>mar. 2008</t>
  </si>
  <si>
    <t>abr. 2008</t>
  </si>
  <si>
    <t>may. 2008</t>
  </si>
  <si>
    <t>jun. 2008</t>
  </si>
  <si>
    <t>jul. 2008</t>
  </si>
  <si>
    <t>ago. 2008</t>
  </si>
  <si>
    <t>sep. 2008</t>
  </si>
  <si>
    <t>oct. 2008</t>
  </si>
  <si>
    <t>nov. 2008</t>
  </si>
  <si>
    <t>dic. 2008</t>
  </si>
  <si>
    <t>ene. 2009</t>
  </si>
  <si>
    <t>feb. 2009</t>
  </si>
  <si>
    <t>mar. 2009</t>
  </si>
  <si>
    <t>abr. 2009</t>
  </si>
  <si>
    <t>may. 2009</t>
  </si>
  <si>
    <t>jun. 2009</t>
  </si>
  <si>
    <t>jul. 2009</t>
  </si>
  <si>
    <t>ago. 2009</t>
  </si>
  <si>
    <t>sep. 2009</t>
  </si>
  <si>
    <t>oct. 2009</t>
  </si>
  <si>
    <t>nov. 2009</t>
  </si>
  <si>
    <t>dic. 2009</t>
  </si>
  <si>
    <t>ene. 2010</t>
  </si>
  <si>
    <t>feb. 2010</t>
  </si>
  <si>
    <t>mar. 2010</t>
  </si>
  <si>
    <t>abr. 2010</t>
  </si>
  <si>
    <t>may. 2010</t>
  </si>
  <si>
    <t>jun. 2010</t>
  </si>
  <si>
    <t>jul. 2010</t>
  </si>
  <si>
    <t>ago. 2010</t>
  </si>
  <si>
    <t>sep. 2010</t>
  </si>
  <si>
    <t>oct. 2010</t>
  </si>
  <si>
    <t>nov. 2010</t>
  </si>
  <si>
    <t>dic. 2010</t>
  </si>
  <si>
    <t>ene. 2011</t>
  </si>
  <si>
    <t>feb. 2011</t>
  </si>
  <si>
    <t>mar. 2011</t>
  </si>
  <si>
    <t>abr. 2011</t>
  </si>
  <si>
    <t>may. 2011</t>
  </si>
  <si>
    <t>jun. 2011</t>
  </si>
  <si>
    <t>jul. 2011</t>
  </si>
  <si>
    <t>ago. 2011</t>
  </si>
  <si>
    <t>sep. 2011</t>
  </si>
  <si>
    <t>oct. 2011</t>
  </si>
  <si>
    <t>nov. 2011</t>
  </si>
  <si>
    <t>dic. 2011</t>
  </si>
  <si>
    <t>ene. 2012</t>
  </si>
  <si>
    <t>feb. 2012</t>
  </si>
  <si>
    <t>mar. 2012</t>
  </si>
  <si>
    <t>abr. 2012</t>
  </si>
  <si>
    <t>may. 2012</t>
  </si>
  <si>
    <t>jun. 2012</t>
  </si>
  <si>
    <t>jul. 2012</t>
  </si>
  <si>
    <t>ago. 2012</t>
  </si>
  <si>
    <t>sep. 2012</t>
  </si>
  <si>
    <t>oct. 2012</t>
  </si>
  <si>
    <t>nov. 2012</t>
  </si>
  <si>
    <t>dic. 2012</t>
  </si>
  <si>
    <t>ene. 2013</t>
  </si>
  <si>
    <t>feb. 2013</t>
  </si>
  <si>
    <t>mar. 2013</t>
  </si>
  <si>
    <t>abr. 2013</t>
  </si>
  <si>
    <t>may. 2013</t>
  </si>
  <si>
    <t>jun. 2013</t>
  </si>
  <si>
    <t>jul. 2013</t>
  </si>
  <si>
    <t>ago. 2013</t>
  </si>
  <si>
    <t>sep. 2013</t>
  </si>
  <si>
    <t>oct. 2013</t>
  </si>
  <si>
    <t>nov. 2013</t>
  </si>
  <si>
    <t>dic. 2013</t>
  </si>
  <si>
    <t>ene. 2014</t>
  </si>
  <si>
    <t>feb. 2014</t>
  </si>
  <si>
    <t>mar. 2014</t>
  </si>
  <si>
    <t>abr. 2014</t>
  </si>
  <si>
    <t>may. 2014</t>
  </si>
  <si>
    <t>jun. 2014</t>
  </si>
  <si>
    <t>jul. 2014</t>
  </si>
  <si>
    <t>ago. 2014</t>
  </si>
  <si>
    <t>sep. 2014</t>
  </si>
  <si>
    <t>oct. 2014</t>
  </si>
  <si>
    <t>nov. 2014</t>
  </si>
  <si>
    <t>dic. 2014</t>
  </si>
  <si>
    <t>ene. 2015</t>
  </si>
  <si>
    <t>feb. 2015</t>
  </si>
  <si>
    <t>mar. 2015</t>
  </si>
  <si>
    <t>abr. 2015</t>
  </si>
  <si>
    <t>may. 2015</t>
  </si>
  <si>
    <t>jun. 2015</t>
  </si>
  <si>
    <t>jul. 2015</t>
  </si>
  <si>
    <t>ago. 2015</t>
  </si>
  <si>
    <t>sep. 2015</t>
  </si>
  <si>
    <t>oct. 2015</t>
  </si>
  <si>
    <t>nov. 2015</t>
  </si>
  <si>
    <t>dic. 2015</t>
  </si>
  <si>
    <t>ene. 2016</t>
  </si>
  <si>
    <t>feb. 2016</t>
  </si>
  <si>
    <t xml:space="preserve">Tipo de cambio </t>
  </si>
  <si>
    <t>Costo de capital propio (Ke)</t>
  </si>
  <si>
    <t>1.1 Calculo del Beta</t>
  </si>
  <si>
    <t xml:space="preserve">KE  =  </t>
  </si>
  <si>
    <t xml:space="preserve">KD  =  </t>
  </si>
  <si>
    <t xml:space="preserve">WACC =  </t>
  </si>
  <si>
    <t>Bebidas carbonatadas (Fanta Kola Inglesa, Fanta, Schweppes, Inca Kola, Coca-Cola, Sprite, Crush); Aguas de mesa (San Luis), Aguas saborizadas (Aquarius), Néctares (Frugos), Isotónicas (Powerade); Energizantes (Burn)</t>
  </si>
  <si>
    <t>Tipo de cambio</t>
  </si>
  <si>
    <t>Litros (millones) según memorias</t>
  </si>
  <si>
    <t>Crecimiento volumenes de venta Lindley (Proyeccion con Eviews)</t>
  </si>
  <si>
    <t>Estado Consolidado de Resultados (en miles de USD $)</t>
  </si>
  <si>
    <t>Estado consolidado de situación financiera (en miles de USD $)</t>
  </si>
  <si>
    <t>Tipo de Cambio</t>
  </si>
  <si>
    <t>FLUJO DE CAJA LINDLEY</t>
  </si>
  <si>
    <t>FLUJO DE CAJA PROYECTADO - ( Miles de USD $)</t>
  </si>
  <si>
    <t>Ventas NETAS (Millones de USD $)</t>
  </si>
  <si>
    <t>PRECIO ( USD$ X Litros)</t>
  </si>
  <si>
    <t>Ingresos por unidad de negocio USD $</t>
  </si>
  <si>
    <t xml:space="preserve">Precio Unitario USD $ por Litro </t>
  </si>
  <si>
    <t>DISTRIBUCION DE LA DEPRECIACION  USD $</t>
  </si>
  <si>
    <t>DISTRIBUCION DE LA DEPRECIACION   S/</t>
  </si>
  <si>
    <t>COSTO DE VENTAS USD $</t>
  </si>
  <si>
    <t>VENTAS USD $</t>
  </si>
  <si>
    <t>INVENTARIO   USD $</t>
  </si>
  <si>
    <t>GASTO DE VENTA  USD $</t>
  </si>
  <si>
    <t>GASTO DE ADMINISTRACION    USD $</t>
  </si>
  <si>
    <t>Valor de Mercado de la Deuda USD $</t>
  </si>
  <si>
    <t>MKT cap (000) USD</t>
  </si>
  <si>
    <t>Deuda USD $. (Mercado)</t>
  </si>
  <si>
    <t>MKT cap (000) USD $</t>
  </si>
  <si>
    <t>PROPIEDAD, PLANTA Y EQUIPO   S/.</t>
  </si>
  <si>
    <t>PROPIEDAD, PLANTA Y EQUIPO  USD $</t>
  </si>
  <si>
    <t>Inversion en Activos</t>
  </si>
  <si>
    <t>% Inventario sobre las ventas</t>
  </si>
  <si>
    <t>Utilidad Operativa</t>
  </si>
  <si>
    <t>Utilidad Bruta</t>
  </si>
  <si>
    <t>PESOS (% de las ventas)</t>
  </si>
  <si>
    <t>USD (000)</t>
  </si>
  <si>
    <t>ANALISIS VERTICAL Y HORIZONTAL</t>
  </si>
  <si>
    <t>Aporte al crecimiento (Variaciòn ponderada)</t>
  </si>
  <si>
    <t>ANALISIS VERTICAL Y HORIZONTAL (Ventas netas)</t>
  </si>
  <si>
    <t>PESOS (% de las ventas netas)</t>
  </si>
  <si>
    <t>Aporte al crecimiento de ventas netas (Variaciòn ponderada)</t>
  </si>
  <si>
    <t>Margen bruto</t>
  </si>
  <si>
    <t>Emerging Markets</t>
  </si>
  <si>
    <t>Grand Total</t>
  </si>
  <si>
    <t>Estructura óptima de capital y estructura de varias empresas</t>
  </si>
  <si>
    <t>Pablo Fernández</t>
  </si>
  <si>
    <t>Ingreso de datos</t>
  </si>
  <si>
    <t>Tasa intereses deuda</t>
  </si>
  <si>
    <t>Tabla 1. Estructura óptima según nota técnica de Harvard Business School</t>
  </si>
  <si>
    <t>FIGURA 1</t>
  </si>
  <si>
    <t>1 Endeudamiento (valor contable) [D /(D+ E)[</t>
  </si>
  <si>
    <t xml:space="preserve">2 BAIT </t>
  </si>
  <si>
    <t>3 Intereses</t>
  </si>
  <si>
    <t xml:space="preserve">4 Beneficio antes de impuestos (BAT) </t>
  </si>
  <si>
    <t xml:space="preserve">6 Beneficio después de impuestos (BFO) </t>
  </si>
  <si>
    <t>7 Dividendos = Cfac</t>
  </si>
  <si>
    <t xml:space="preserve">8 Intereses + dividendos (3)+(7) </t>
  </si>
  <si>
    <t xml:space="preserve">9 Coste de la deuda: Kd </t>
  </si>
  <si>
    <t xml:space="preserve">10 Coste de los recursos propios: Ke </t>
  </si>
  <si>
    <t xml:space="preserve">11 Valor de mercado de la deuda D. (3)/(9) </t>
  </si>
  <si>
    <t xml:space="preserve">12 Valor Equity (mercado). (7)/(10) </t>
  </si>
  <si>
    <t>13 Valor de mercado de la empresa. (11)+(12)</t>
  </si>
  <si>
    <t>14 Valor contable de la deuda</t>
  </si>
  <si>
    <t>15 Valor contable de las acciones</t>
  </si>
  <si>
    <t xml:space="preserve">16 Valor contable de la empresa </t>
  </si>
  <si>
    <t>FIGURA 2</t>
  </si>
  <si>
    <t xml:space="preserve">17 ROA = BAIT(1–T)/(16) </t>
  </si>
  <si>
    <t xml:space="preserve">18 ROE = (6)/(15) </t>
  </si>
  <si>
    <t>ROE = ROA + [Dvc / Evc] [ROA - Kd (1 - T)]</t>
  </si>
  <si>
    <t xml:space="preserve">19 Número de acciones en circulación, NA </t>
  </si>
  <si>
    <t xml:space="preserve">20 Cotización de la acción, P (12)/(19) </t>
  </si>
  <si>
    <t>Calculo numero de acciones (desde D=0 hasta endeudamiento actual)</t>
  </si>
  <si>
    <t>La empresa anuncia modificar su estructura y emite deuda</t>
  </si>
  <si>
    <t>La cotización de sus acciones cambia y reflejar el nuevo precio de la accion</t>
  </si>
  <si>
    <t>La empresa compra acciones con la deuda y al nuevo precio.</t>
  </si>
  <si>
    <t>Numero de acciones resultado de cambio de estructura</t>
  </si>
  <si>
    <t xml:space="preserve">21 Beneficio por acción, BPA. (6)/(19) </t>
  </si>
  <si>
    <t>22 PER  (6)/(12)</t>
  </si>
  <si>
    <t xml:space="preserve">23 Endeudamiento contable (14)/(16) </t>
  </si>
  <si>
    <t xml:space="preserve">24 Endeudamiento (mercado) (11)/(13) </t>
  </si>
  <si>
    <t xml:space="preserve">25 Coste promedio del capital (WACC) </t>
  </si>
  <si>
    <t>26 Cash flow disponible FCF = BAIT (1-T)</t>
  </si>
  <si>
    <t xml:space="preserve">27 Valor de mercado de la empresa. (26)/(25) </t>
  </si>
  <si>
    <t>Media</t>
  </si>
  <si>
    <t>Error típico</t>
  </si>
  <si>
    <t>Mediana</t>
  </si>
  <si>
    <t>Moda</t>
  </si>
  <si>
    <t>Desviación estándar</t>
  </si>
  <si>
    <t>Varianza de la muestra</t>
  </si>
  <si>
    <t>Curtosis</t>
  </si>
  <si>
    <t>Coeficiente de asimetría</t>
  </si>
  <si>
    <t>Rango</t>
  </si>
  <si>
    <t>Mínimo</t>
  </si>
  <si>
    <t>Máximo</t>
  </si>
  <si>
    <t>Suma</t>
  </si>
  <si>
    <t>Cuenta</t>
  </si>
  <si>
    <t>Mayor (1)</t>
  </si>
  <si>
    <t>Menor(1)</t>
  </si>
  <si>
    <t>Nivel de confianza(95.0%)</t>
  </si>
  <si>
    <t>Shock Azucar</t>
  </si>
  <si>
    <t>Shock Petroleo</t>
  </si>
  <si>
    <t>Shock Azucar anual</t>
  </si>
  <si>
    <t>Shock Petroleo anual</t>
  </si>
  <si>
    <t># de Acciones</t>
  </si>
  <si>
    <t>Importe USD $</t>
  </si>
  <si>
    <t>USD $ X Accion</t>
  </si>
  <si>
    <t>1 Compra 10/09/2015</t>
  </si>
  <si>
    <t>2 Compra 4/01/2016</t>
  </si>
  <si>
    <t>COMPRA ACCIONES COMUNES DE LINDLEY</t>
  </si>
  <si>
    <t>Riesgo Soberano x Spread</t>
  </si>
  <si>
    <t>Volatilidad relativa de acciones</t>
  </si>
  <si>
    <t xml:space="preserve">Modelo de flujo de caja descontados (DCF) </t>
  </si>
  <si>
    <t>Modelo de comparable con múltiplos.</t>
  </si>
  <si>
    <t>Corporación Lindley</t>
  </si>
  <si>
    <t>EQY_FUND_CRNCY</t>
  </si>
  <si>
    <t>REL_INDEX</t>
  </si>
  <si>
    <t>PEN</t>
  </si>
  <si>
    <t>Ticker</t>
  </si>
  <si>
    <t>Name</t>
  </si>
  <si>
    <t>País</t>
  </si>
  <si>
    <t>CORLINI1 PE Equity</t>
  </si>
  <si>
    <t>ANDINAA CI Equity</t>
  </si>
  <si>
    <t>EMBOTELLADORA ANDINA-A PREF</t>
  </si>
  <si>
    <t>AC* MM Equity</t>
  </si>
  <si>
    <t>ARCA CONTINENTAL SAB DE CV</t>
  </si>
  <si>
    <t>CULTIBAB MM Equity</t>
  </si>
  <si>
    <t>ORGANIZACION CULTIBA SAB CV</t>
  </si>
  <si>
    <t>KOFL MM Equity</t>
  </si>
  <si>
    <t>COCA-COLA FEMSA SAB-SER L</t>
  </si>
  <si>
    <t>FEMSAUBD MM Equity</t>
  </si>
  <si>
    <t>FOMENTO ECONOMICO MEXICA-UBD</t>
  </si>
  <si>
    <t>Max</t>
  </si>
  <si>
    <t>Min</t>
  </si>
  <si>
    <t>Average</t>
  </si>
  <si>
    <t>Compañía</t>
  </si>
  <si>
    <t>Actividad principal</t>
  </si>
  <si>
    <t>Market Cap (USDMM)</t>
  </si>
  <si>
    <t>Cotización al alza</t>
  </si>
  <si>
    <t>Mix de productos</t>
  </si>
  <si>
    <t>Consumo / Bebidas</t>
  </si>
  <si>
    <t>√</t>
  </si>
  <si>
    <t>EBITDA 2015</t>
  </si>
  <si>
    <t>Caja</t>
  </si>
  <si>
    <t>EV</t>
  </si>
  <si>
    <t xml:space="preserve"> Lambda</t>
  </si>
  <si>
    <t>SPBLPGPT Index</t>
  </si>
  <si>
    <t>PERUGB 6.9 08/37 Corp</t>
  </si>
  <si>
    <t>Desv. Mensual</t>
  </si>
  <si>
    <t>Desv. Anual</t>
  </si>
  <si>
    <t>05/23/2016</t>
  </si>
  <si>
    <t>04/29/2016</t>
  </si>
  <si>
    <t>04/30/2016</t>
  </si>
  <si>
    <t>03/31/2016</t>
  </si>
  <si>
    <t>02/29/2016</t>
  </si>
  <si>
    <t>01/29/2016</t>
  </si>
  <si>
    <t>01/31/2016</t>
  </si>
  <si>
    <t>12/31/2015</t>
  </si>
  <si>
    <t>11/30/2015</t>
  </si>
  <si>
    <t>10/30/2015</t>
  </si>
  <si>
    <t>10/31/2015</t>
  </si>
  <si>
    <t>09/30/2015</t>
  </si>
  <si>
    <t>08/31/2015</t>
  </si>
  <si>
    <t>07/31/2015</t>
  </si>
  <si>
    <t>06/30/2015</t>
  </si>
  <si>
    <t>05/29/2015</t>
  </si>
  <si>
    <t>05/31/2015</t>
  </si>
  <si>
    <t>04/30/2015</t>
  </si>
  <si>
    <t>03/31/2015</t>
  </si>
  <si>
    <t>02/27/2015</t>
  </si>
  <si>
    <t>02/28/2015</t>
  </si>
  <si>
    <t>01/30/2015</t>
  </si>
  <si>
    <t>01/31/2015</t>
  </si>
  <si>
    <t>12/31/2014</t>
  </si>
  <si>
    <t>11/28/2014</t>
  </si>
  <si>
    <t>11/30/2014</t>
  </si>
  <si>
    <t>10/31/2014</t>
  </si>
  <si>
    <t>09/30/2014</t>
  </si>
  <si>
    <t>08/29/2014</t>
  </si>
  <si>
    <t>08/31/2014</t>
  </si>
  <si>
    <t>07/31/2014</t>
  </si>
  <si>
    <t>06/30/2014</t>
  </si>
  <si>
    <t>05/30/2014</t>
  </si>
  <si>
    <t>05/31/2014</t>
  </si>
  <si>
    <t>04/30/2014</t>
  </si>
  <si>
    <t>03/31/2014</t>
  </si>
  <si>
    <t>02/28/2014</t>
  </si>
  <si>
    <t>01/31/2014</t>
  </si>
  <si>
    <t>12/31/2013</t>
  </si>
  <si>
    <t>11/29/2013</t>
  </si>
  <si>
    <t>11/30/2013</t>
  </si>
  <si>
    <t>10/31/2013</t>
  </si>
  <si>
    <t>09/30/2013</t>
  </si>
  <si>
    <t>08/30/2013</t>
  </si>
  <si>
    <t>08/31/2013</t>
  </si>
  <si>
    <t>07/31/2013</t>
  </si>
  <si>
    <t>06/28/2013</t>
  </si>
  <si>
    <t>06/30/2013</t>
  </si>
  <si>
    <t>05/31/2013</t>
  </si>
  <si>
    <t>04/30/2013</t>
  </si>
  <si>
    <t>03/29/2013</t>
  </si>
  <si>
    <t>03/31/2013</t>
  </si>
  <si>
    <t>02/28/2013</t>
  </si>
  <si>
    <t>01/31/2013</t>
  </si>
  <si>
    <t>12/31/2012</t>
  </si>
  <si>
    <t>11/30/2012</t>
  </si>
  <si>
    <t>10/31/2012</t>
  </si>
  <si>
    <t>09/28/2012</t>
  </si>
  <si>
    <t>09/30/2012</t>
  </si>
  <si>
    <t>08/31/2012</t>
  </si>
  <si>
    <t>07/31/2012</t>
  </si>
  <si>
    <t>06/29/2012</t>
  </si>
  <si>
    <t>06/30/2012</t>
  </si>
  <si>
    <t>05/31/2012</t>
  </si>
  <si>
    <t>04/30/2012</t>
  </si>
  <si>
    <t>03/30/2012</t>
  </si>
  <si>
    <t>03/31/2012</t>
  </si>
  <si>
    <t>02/29/2012</t>
  </si>
  <si>
    <t>01/31/2012</t>
  </si>
  <si>
    <t>12/30/2011</t>
  </si>
  <si>
    <t>12/31/2011</t>
  </si>
  <si>
    <t>11/30/2011</t>
  </si>
  <si>
    <t>10/31/2011</t>
  </si>
  <si>
    <t>09/30/2011</t>
  </si>
  <si>
    <t>08/31/2011</t>
  </si>
  <si>
    <t>07/29/2011</t>
  </si>
  <si>
    <t>07/31/2011</t>
  </si>
  <si>
    <t>06/30/2011</t>
  </si>
  <si>
    <t>05/31/2011</t>
  </si>
  <si>
    <t>04/29/2011</t>
  </si>
  <si>
    <t>04/30/2011</t>
  </si>
  <si>
    <t>03/31/2011</t>
  </si>
  <si>
    <t>02/28/2011</t>
  </si>
  <si>
    <t>01/31/2011</t>
  </si>
  <si>
    <t>12/31/2010</t>
  </si>
  <si>
    <t>11/30/2010</t>
  </si>
  <si>
    <t>10/29/2010</t>
  </si>
  <si>
    <t>10/31/2010</t>
  </si>
  <si>
    <t>09/30/2010</t>
  </si>
  <si>
    <t>08/31/2010</t>
  </si>
  <si>
    <t>07/30/2010</t>
  </si>
  <si>
    <t>07/31/2010</t>
  </si>
  <si>
    <t>06/30/2010</t>
  </si>
  <si>
    <t>05/31/2010</t>
  </si>
  <si>
    <t>04/30/2010</t>
  </si>
  <si>
    <t>03/31/2010</t>
  </si>
  <si>
    <t>02/26/2010</t>
  </si>
  <si>
    <t>01/29/2010</t>
  </si>
  <si>
    <t>12/31/2009</t>
  </si>
  <si>
    <t>11/30/2009</t>
  </si>
  <si>
    <t>10/30/2009</t>
  </si>
  <si>
    <t>09/30/2009</t>
  </si>
  <si>
    <t>08/31/2009</t>
  </si>
  <si>
    <t>07/31/2009</t>
  </si>
  <si>
    <t>06/30/2009</t>
  </si>
  <si>
    <t>05/29/2009</t>
  </si>
  <si>
    <t>04/30/2009</t>
  </si>
  <si>
    <t>03/31/2009</t>
  </si>
  <si>
    <t>02/27/2009</t>
  </si>
  <si>
    <t>01/30/2009</t>
  </si>
  <si>
    <t>12/31/2008</t>
  </si>
  <si>
    <t>11/28/2008</t>
  </si>
  <si>
    <t>10/31/2008</t>
  </si>
  <si>
    <t>09/30/2008</t>
  </si>
  <si>
    <t>08/29/2008</t>
  </si>
  <si>
    <t>07/31/2008</t>
  </si>
  <si>
    <t>06/30/2008</t>
  </si>
  <si>
    <t>05/30/2008</t>
  </si>
  <si>
    <t>04/30/2008</t>
  </si>
  <si>
    <t>03/31/2008</t>
  </si>
  <si>
    <t>02/29/2008</t>
  </si>
  <si>
    <t>01/31/2008</t>
  </si>
  <si>
    <t>12/31/2007</t>
  </si>
  <si>
    <t>11/30/2007</t>
  </si>
  <si>
    <t>10/31/2007</t>
  </si>
  <si>
    <t>09/28/2007</t>
  </si>
  <si>
    <t>08/31/2007</t>
  </si>
  <si>
    <t>07/31/2007</t>
  </si>
  <si>
    <t>06/29/2007</t>
  </si>
  <si>
    <t>05/31/2007</t>
  </si>
  <si>
    <t>04/30/2007</t>
  </si>
  <si>
    <t>03/30/2007</t>
  </si>
  <si>
    <t>02/28/2007</t>
  </si>
  <si>
    <t>01/31/2007</t>
  </si>
  <si>
    <t>12/29/2006</t>
  </si>
  <si>
    <t>11/30/2006</t>
  </si>
  <si>
    <t>10/31/2006</t>
  </si>
  <si>
    <t>09/29/2006</t>
  </si>
  <si>
    <t>08/31/2006</t>
  </si>
  <si>
    <t>07/31/2006</t>
  </si>
  <si>
    <t>06/30/2006</t>
  </si>
  <si>
    <t>05/31/2006</t>
  </si>
  <si>
    <t>04/28/2006</t>
  </si>
  <si>
    <t>03/31/2006</t>
  </si>
  <si>
    <t>02/28/2006</t>
  </si>
  <si>
    <t>01/31/2006</t>
  </si>
  <si>
    <t>12/30/2005</t>
  </si>
  <si>
    <t>11/30/2005</t>
  </si>
  <si>
    <t>10/31/2005</t>
  </si>
  <si>
    <t>09/30/2005</t>
  </si>
  <si>
    <t>08/31/2005</t>
  </si>
  <si>
    <t>07/29/2005</t>
  </si>
  <si>
    <t>06/30/2005</t>
  </si>
  <si>
    <t>05/31/2005</t>
  </si>
  <si>
    <t>04/29/2005</t>
  </si>
  <si>
    <t>03/31/2005</t>
  </si>
  <si>
    <t>02/28/2005</t>
  </si>
  <si>
    <t>last Price</t>
  </si>
  <si>
    <t>Rendmiento</t>
  </si>
  <si>
    <t>S &amp; P / Índice general BVL Perú antes conocido como índice de referencia es IGBVL  de Perú. El Índice tiene criterios mínimos de capitalización de mercado ajustado y liquidez. Se utiliza un sistema de ponderación de capitalización bursátil modificada para reducir la concentración de valores y hace un seguimiento de la historia del IGBVL remonta a 1991.</t>
  </si>
  <si>
    <t>Lambda</t>
  </si>
  <si>
    <t xml:space="preserve">Bono </t>
  </si>
  <si>
    <t>CEMENTO PACASMAYO</t>
  </si>
  <si>
    <t>MILPO</t>
  </si>
  <si>
    <t>TIR % (Yield)</t>
  </si>
  <si>
    <t>( Deuda con terceros a valor presente )</t>
  </si>
  <si>
    <t>( Patrimonio a precio de mercado )</t>
  </si>
  <si>
    <t>( Fuente Damodaran, Beta para mercados emergentes )</t>
  </si>
  <si>
    <t>( Formula = Beta desalapancado*[1 + D/E*(1-t)] )</t>
  </si>
  <si>
    <t>( Bonos Tesoro de EEUU a 30 años )</t>
  </si>
  <si>
    <t xml:space="preserve"> ( Geometrica de Acciones vs T-bonds mas largo plazo 1928-2015 )</t>
  </si>
  <si>
    <t>( EMBIG PERU )</t>
  </si>
  <si>
    <t>( Comprende Bonos emitidos y  arrendamiento bancario)</t>
  </si>
  <si>
    <t>( Costo de capital propio -Ke )</t>
  </si>
  <si>
    <t>Acciones Inversion</t>
  </si>
  <si>
    <t>1 Compra 4/01/2016</t>
  </si>
  <si>
    <t>2 Compra 23/03/2016</t>
  </si>
  <si>
    <t>ACCIONES DE INVERSION VS ACCIONES COMUNES</t>
  </si>
  <si>
    <t>ACCIONES COMUNES VS ACCIONES INVERSION</t>
  </si>
  <si>
    <t>FCFF</t>
  </si>
  <si>
    <t>Acciones de Inversion</t>
  </si>
  <si>
    <t>Acciones Tipo A</t>
  </si>
  <si>
    <t>Acciones Tipo B</t>
  </si>
  <si>
    <t>Acciones Tipo C</t>
  </si>
  <si>
    <t>Total Acciones</t>
  </si>
  <si>
    <t>Precio Promedio Accion calculado</t>
  </si>
  <si>
    <t>Factor por derechos y beneficios</t>
  </si>
  <si>
    <t>POR DERECHO Y BENEFICIOS</t>
  </si>
  <si>
    <t>Fuente : Bloomberg</t>
  </si>
  <si>
    <r>
      <t xml:space="preserve">Inventario inicial de productos terminados, en proceso y mercaderías, </t>
    </r>
    <r>
      <rPr>
        <b/>
        <sz val="10"/>
        <color theme="1"/>
        <rFont val="Arial"/>
        <family val="2"/>
      </rPr>
      <t>nota 7</t>
    </r>
  </si>
  <si>
    <r>
      <t xml:space="preserve">Depreciación, </t>
    </r>
    <r>
      <rPr>
        <b/>
        <sz val="10"/>
        <color theme="1"/>
        <rFont val="Arial"/>
        <family val="2"/>
      </rPr>
      <t>nota 11(d)</t>
    </r>
  </si>
  <si>
    <r>
      <t xml:space="preserve">Amortización, </t>
    </r>
    <r>
      <rPr>
        <b/>
        <sz val="10"/>
        <color theme="1"/>
        <rFont val="Arial"/>
        <family val="2"/>
      </rPr>
      <t>nota 12(b)</t>
    </r>
  </si>
  <si>
    <r>
      <t xml:space="preserve">Menos: Inventario final de productos terminados, en proceso y mercaderías, </t>
    </r>
    <r>
      <rPr>
        <b/>
        <sz val="10"/>
        <color theme="1"/>
        <rFont val="Arial"/>
        <family val="2"/>
      </rPr>
      <t>nota 7</t>
    </r>
  </si>
  <si>
    <r>
      <t xml:space="preserve">RISK INDICATORS FOR EMERGING COUNTRIES: Emerging Market Bond Index (EMBIG)   </t>
    </r>
    <r>
      <rPr>
        <b/>
        <sz val="10"/>
        <rFont val="Arial"/>
        <family val="2"/>
      </rPr>
      <t xml:space="preserve">1/ </t>
    </r>
    <r>
      <rPr>
        <b/>
        <i/>
        <sz val="10"/>
        <rFont val="Arial"/>
        <family val="2"/>
      </rPr>
      <t xml:space="preserve">   Stripped Spread     </t>
    </r>
    <r>
      <rPr>
        <b/>
        <sz val="10"/>
        <rFont val="Arial"/>
        <family val="2"/>
      </rPr>
      <t xml:space="preserve">2/ </t>
    </r>
    <r>
      <rPr>
        <b/>
        <i/>
        <sz val="10"/>
        <rFont val="Arial"/>
        <family val="2"/>
      </rPr>
      <t xml:space="preserve">  (In basis points)      </t>
    </r>
    <r>
      <rPr>
        <b/>
        <sz val="10"/>
        <rFont val="Arial"/>
        <family val="2"/>
      </rPr>
      <t xml:space="preserve"> 3/</t>
    </r>
  </si>
  <si>
    <r>
      <t xml:space="preserve">Diferencial de rendimientos del índice de bonos de mercados emergentes (EMBIG) / </t>
    </r>
    <r>
      <rPr>
        <i/>
        <sz val="10"/>
        <rFont val="Arial"/>
        <family val="2"/>
      </rPr>
      <t>Emerging Market Bond Index (EMBIG) Stripped Spread</t>
    </r>
  </si>
  <si>
    <r>
      <t xml:space="preserve">Tasa de Interés / </t>
    </r>
    <r>
      <rPr>
        <i/>
        <sz val="10"/>
        <rFont val="Arial"/>
        <family val="2"/>
      </rPr>
      <t>Interest Rate</t>
    </r>
  </si>
  <si>
    <r>
      <t>Fuente</t>
    </r>
    <r>
      <rPr>
        <sz val="10"/>
        <rFont val="Arial"/>
        <family val="2"/>
      </rPr>
      <t>: Bloomberg y Reuters.</t>
    </r>
  </si>
  <si>
    <r>
      <t>Elaboración</t>
    </r>
    <r>
      <rPr>
        <sz val="10"/>
        <rFont val="Arial"/>
        <family val="2"/>
      </rPr>
      <t>: Gerencia de Información y Análisis Económico - Subgerencia de Economía Internacional.</t>
    </r>
  </si>
  <si>
    <r>
      <t>Tipo de Cambio.-</t>
    </r>
    <r>
      <rPr>
        <sz val="11"/>
        <color theme="1"/>
        <rFont val="Arial"/>
        <family val="2"/>
      </rPr>
      <t xml:space="preserve"> El tipo de cambio se obtiene del marco macroeconomico del Ministerio de Economia y Finanzas 2016-2018</t>
    </r>
  </si>
  <si>
    <r>
      <t>Ventas:</t>
    </r>
    <r>
      <rPr>
        <sz val="11"/>
        <color theme="1"/>
        <rFont val="Arial"/>
        <family val="2"/>
      </rPr>
      <t xml:space="preserve"> Para el calculo de las ventas se utilizo datos de produccion nacional de bebidas ,  el crecimiento del PBI y el consumo per capita, las ventas proyectadas son la siguientes</t>
    </r>
  </si>
  <si>
    <r>
      <t xml:space="preserve">DEPRECIACION:  </t>
    </r>
    <r>
      <rPr>
        <sz val="11"/>
        <color theme="1"/>
        <rFont val="Arial"/>
        <family val="2"/>
      </rPr>
      <t>Para la depreciacion se tomada como porcentaje de los activos fijos. El promedio es de 5% anual, que representa una vida util de 20 años de la planta</t>
    </r>
  </si>
  <si>
    <r>
      <t xml:space="preserve">Capital de trabajo: </t>
    </r>
    <r>
      <rPr>
        <sz val="11"/>
        <color theme="1"/>
        <rFont val="Arial"/>
        <family val="2"/>
      </rPr>
      <t>Los calculos para la necesidad de capital de trabajo esta en la viñeta "Capital de Trabajo"</t>
    </r>
  </si>
  <si>
    <t>EV/EBITDA</t>
  </si>
  <si>
    <t>Precio acción US$</t>
  </si>
  <si>
    <t xml:space="preserve">5 Impuestos </t>
  </si>
  <si>
    <r>
      <rPr>
        <b/>
        <sz val="11"/>
        <color theme="1"/>
        <rFont val="Arial"/>
        <family val="2"/>
      </rPr>
      <t>ACTIVOS</t>
    </r>
    <r>
      <rPr>
        <sz val="11"/>
        <color theme="1"/>
        <rFont val="Arial"/>
        <family val="2"/>
      </rPr>
      <t>: Un gasto anual de USD $20 millones</t>
    </r>
  </si>
  <si>
    <r>
      <t>GASTOS:</t>
    </r>
    <r>
      <rPr>
        <sz val="11"/>
        <color theme="1"/>
        <rFont val="Arial"/>
        <family val="2"/>
      </rPr>
      <t xml:space="preserve"> Los gastos de ventas representa 19% sobre las ventas, y los gastos de administracion el 4%. Se mantendra estos valores para la proyeccion suponiendo que las variables son controlables y la empresa gestionada para que se mantenga en esos porcentajes.</t>
    </r>
  </si>
  <si>
    <t>No de Acciones</t>
  </si>
  <si>
    <t>Precio de Acciones</t>
  </si>
  <si>
    <t>Capitalizacion</t>
  </si>
  <si>
    <t>Comun</t>
  </si>
  <si>
    <t>inversion</t>
  </si>
  <si>
    <t>Promedio</t>
  </si>
  <si>
    <t>Alicorp</t>
  </si>
  <si>
    <t>Pacasmayo</t>
  </si>
  <si>
    <t>Cervesur</t>
  </si>
  <si>
    <t>Milpo</t>
  </si>
  <si>
    <t>Aceros Arequipa</t>
  </si>
  <si>
    <t>Arequipa</t>
  </si>
  <si>
    <t>ALICORP SAA</t>
  </si>
  <si>
    <t>ALICORC1</t>
  </si>
  <si>
    <t>ALICORI1</t>
  </si>
  <si>
    <t>Precio Promedio</t>
  </si>
  <si>
    <t>N de Acciones</t>
  </si>
  <si>
    <t>CEMENTOS PACASMAYO</t>
  </si>
  <si>
    <t>CPACASC1</t>
  </si>
  <si>
    <t>CPACASI1</t>
  </si>
  <si>
    <t>CORPORACION CERVESUR S.A.A.</t>
  </si>
  <si>
    <t>COCESUC1</t>
  </si>
  <si>
    <t>COCESUI1</t>
  </si>
  <si>
    <t>COMPAÑÍA MINERA MILPO S.A.A.</t>
  </si>
  <si>
    <t>MILPOC1</t>
  </si>
  <si>
    <t>MILPOI1</t>
  </si>
  <si>
    <t>CORPORACION ACEROS AREQUIPA S.A.</t>
  </si>
  <si>
    <t>CORAREC1</t>
  </si>
  <si>
    <t>CORAREI1</t>
  </si>
  <si>
    <t>( Optimo del sector )</t>
  </si>
  <si>
    <t>%</t>
  </si>
  <si>
    <t>Precio Del Mercado</t>
  </si>
  <si>
    <t>No Acciones</t>
  </si>
  <si>
    <t>Precio por Arca</t>
  </si>
  <si>
    <t>Precio Calculado</t>
  </si>
  <si>
    <t>PROYECCION DE LAS VENTAS</t>
  </si>
  <si>
    <t xml:space="preserve">CUADRO 4.-  RATIOS FINANCIEROS </t>
  </si>
  <si>
    <t>MAESTRIA EN FINANZAS CORPORATIVAS</t>
  </si>
  <si>
    <r>
      <t xml:space="preserve">IMPUESTOS: </t>
    </r>
    <r>
      <rPr>
        <sz val="11"/>
        <color theme="1"/>
        <rFont val="Arial"/>
        <family val="2"/>
      </rPr>
      <t>En el caso de las empresas, el Impuesto a la Renta efectiva de lindley es 32%</t>
    </r>
  </si>
  <si>
    <t>Accion de Inversion</t>
  </si>
  <si>
    <t>Accion Comun</t>
  </si>
  <si>
    <t>Precio acción calculado (mediana)</t>
  </si>
  <si>
    <t>Precio acción calculado (máximo)</t>
  </si>
  <si>
    <t>PRECIO POR ACCIÓN US$</t>
  </si>
  <si>
    <t>subvaluado</t>
  </si>
  <si>
    <t>sobrevaluado</t>
  </si>
  <si>
    <t>Precio de la Accion de Inversion</t>
  </si>
  <si>
    <t>Numero de acciones Comunes</t>
  </si>
  <si>
    <t>Numeros de acciones de Inversion</t>
  </si>
  <si>
    <t>CALCULO PRECIO ACCION DE INVERSION</t>
  </si>
  <si>
    <t>Costo de Financiamiento de Arrendamiento financiero</t>
  </si>
  <si>
    <t>CUADRO 11</t>
  </si>
  <si>
    <t>Relacion entre Acciones Comunes y Acciones de Inversion</t>
  </si>
  <si>
    <t>Precio acción inversión S/.</t>
  </si>
  <si>
    <t>Valor Contable</t>
  </si>
  <si>
    <t>Valor FCD</t>
  </si>
  <si>
    <t>Valor por múltiplos</t>
  </si>
  <si>
    <t>Cotización BVL</t>
  </si>
  <si>
    <t>Precio S/.</t>
  </si>
  <si>
    <t>Adquisición Arca Continental</t>
  </si>
  <si>
    <t>Embotelladora Andina</t>
  </si>
  <si>
    <t xml:space="preserve">Coca-Cola Embonor </t>
  </si>
  <si>
    <t>Organizacion Cultiba</t>
  </si>
  <si>
    <t>Coca-Cola Femsa</t>
  </si>
  <si>
    <t>Fomento Económico Mexicano</t>
  </si>
  <si>
    <t>Cia Cervecerias Unidas</t>
  </si>
  <si>
    <t>Rentabilidad</t>
  </si>
  <si>
    <t>Liquidez</t>
  </si>
  <si>
    <t>Gestión</t>
  </si>
  <si>
    <t>Liquidez general</t>
  </si>
  <si>
    <t>Liquidez Prueba ácida</t>
  </si>
  <si>
    <t>Cobertura de gastos financieros</t>
  </si>
  <si>
    <t>Cobertura de servicio de deuda</t>
  </si>
  <si>
    <t>Solvencia</t>
  </si>
  <si>
    <t>CUADRO 4.-  Ratios Financieros</t>
  </si>
  <si>
    <t xml:space="preserve"> ( Valor de mercado Deuda / Equity)</t>
  </si>
  <si>
    <t>EV/EBITDA (Lindley)</t>
  </si>
  <si>
    <t>G</t>
  </si>
  <si>
    <t>LINDLEY</t>
  </si>
  <si>
    <t>EV/EBITDA (Comparables)</t>
  </si>
  <si>
    <t>A) Calculo de factor para obtener el precio de las Acciones Comunes</t>
  </si>
  <si>
    <t>B) COMPRAS DE ARCA CONTINENTAL</t>
  </si>
  <si>
    <r>
      <t xml:space="preserve">COSTOS: </t>
    </r>
    <r>
      <rPr>
        <sz val="11"/>
        <color theme="1"/>
        <rFont val="Arial"/>
        <family val="2"/>
      </rPr>
      <t xml:space="preserve">      Se toma como base 64% de costo sobre las ventas. Lindley a realizado inversiones que le permite reducir costos</t>
    </r>
  </si>
  <si>
    <t>Equivalent Estimates</t>
  </si>
  <si>
    <t>-5FY</t>
  </si>
  <si>
    <t>-4FY</t>
  </si>
  <si>
    <t>-3FY</t>
  </si>
  <si>
    <t>-2FY</t>
  </si>
  <si>
    <t>-1FY</t>
  </si>
  <si>
    <t>-0FY</t>
  </si>
  <si>
    <t>1FY</t>
  </si>
  <si>
    <t>2FY</t>
  </si>
  <si>
    <t>3FY</t>
  </si>
  <si>
    <t>Periodicity:</t>
  </si>
  <si>
    <t>12/10</t>
  </si>
  <si>
    <t>12/11</t>
  </si>
  <si>
    <t>12/12</t>
  </si>
  <si>
    <t>12/13</t>
  </si>
  <si>
    <t>12/14</t>
  </si>
  <si>
    <t>12/15</t>
  </si>
  <si>
    <t>12/16E</t>
  </si>
  <si>
    <t>12/17E</t>
  </si>
  <si>
    <t>12/18E</t>
  </si>
  <si>
    <t/>
  </si>
  <si>
    <t>*Net income excludes extraordinary gains and losses and one-time charges.</t>
  </si>
  <si>
    <t>Net Income</t>
  </si>
  <si>
    <t xml:space="preserve">     + Depreciation &amp; Amortization</t>
  </si>
  <si>
    <t xml:space="preserve">     + Other Non-Cash Adjustments</t>
  </si>
  <si>
    <t>Cash From Operating Activities</t>
  </si>
  <si>
    <t xml:space="preserve">     + Disposal of Fixed Assets</t>
  </si>
  <si>
    <t xml:space="preserve">     + Capital Expenditures</t>
  </si>
  <si>
    <t xml:space="preserve">     + Other Investing Activities</t>
  </si>
  <si>
    <t>Cash From Investing Activities</t>
  </si>
  <si>
    <t xml:space="preserve">     + Dividends Paid</t>
  </si>
  <si>
    <t xml:space="preserve">     + Other Financing Activities</t>
  </si>
  <si>
    <t>Cash From Financing Activities</t>
  </si>
  <si>
    <t>Net Changes in Cash</t>
  </si>
  <si>
    <t>Ratio Analysis</t>
  </si>
  <si>
    <t>4FY</t>
  </si>
  <si>
    <t>5FY</t>
  </si>
  <si>
    <t>12/19E</t>
  </si>
  <si>
    <t>12/20E</t>
  </si>
  <si>
    <t xml:space="preserve"> * Financial information in USD (M)</t>
  </si>
  <si>
    <t xml:space="preserve">     + Increase in Long Term Borrowings</t>
  </si>
  <si>
    <t xml:space="preserve">     + Decrease in Long Term Borrowings</t>
  </si>
  <si>
    <t xml:space="preserve">     + Increase in Capital Stocks</t>
  </si>
  <si>
    <t xml:space="preserve">     + Decrease in Capital Stocks</t>
  </si>
  <si>
    <t xml:space="preserve">     + Changes in Non and Cash Capital</t>
  </si>
  <si>
    <t>Inventario</t>
  </si>
  <si>
    <t>EBITDA/Deuda CP</t>
  </si>
  <si>
    <t>Deuda/EBITDA</t>
  </si>
  <si>
    <t>a la par</t>
  </si>
  <si>
    <t>Costo total hipotético</t>
  </si>
  <si>
    <t>Incremento hipotético</t>
  </si>
  <si>
    <t>Variaciones commoditties</t>
  </si>
  <si>
    <t>Observación</t>
  </si>
  <si>
    <t>Descripción</t>
  </si>
  <si>
    <t>Variable</t>
  </si>
  <si>
    <t>Consumo privado peruano (millones de soles del 2007)</t>
  </si>
  <si>
    <t>PBI_CONSUMO</t>
  </si>
  <si>
    <t>Índice de Precios del Perú fin de Periodo (Base Dic. 2001=100)</t>
  </si>
  <si>
    <t>IPC</t>
  </si>
  <si>
    <t>Elaboración de bebidas gaseosas con dulce - Total Perú (miles lt.)</t>
  </si>
  <si>
    <t>PROD_GAS</t>
  </si>
  <si>
    <t>Elaboración de agua embotellada de mesa - Total Perú (miles lt.)</t>
  </si>
  <si>
    <t>PROD_AGUA</t>
  </si>
  <si>
    <t>Elaboración de gaseosas - Total Lindley (miles lt.)</t>
  </si>
  <si>
    <t>PROD_GAS_LNY</t>
  </si>
  <si>
    <t> 1.000000</t>
  </si>
  <si>
    <t> 0.985092</t>
  </si>
  <si>
    <t> 0.909117</t>
  </si>
  <si>
    <t> 0.987320</t>
  </si>
  <si>
    <t> 0.924081</t>
  </si>
  <si>
    <t> 0.950578</t>
  </si>
  <si>
    <t> 0.972103</t>
  </si>
  <si>
    <t> 0.953922</t>
  </si>
  <si>
    <t> 0.895402</t>
  </si>
  <si>
    <t> 0.905369</t>
  </si>
  <si>
    <t> 0.897708</t>
  </si>
  <si>
    <t>Modelo 1:</t>
  </si>
  <si>
    <t>prod_gas  =  F( ipc, pbi_consumo, q )</t>
  </si>
  <si>
    <t>Modelo 2:</t>
  </si>
  <si>
    <t>prod_gas_lny  =  F( ipc, pbi_consumo, q )</t>
  </si>
  <si>
    <t>Tabla 14. Modelo 2: Mínimos cuadrados ordinarios</t>
  </si>
  <si>
    <t>Dependent Variable: PROD_GAS_LNY</t>
  </si>
  <si>
    <t>Method: Least Squares</t>
  </si>
  <si>
    <t>Date: 04/11/16   Time: 19:34</t>
  </si>
  <si>
    <t>Sample (adjusted): 1998 2014</t>
  </si>
  <si>
    <t>Included observations: 17 after adjustments</t>
  </si>
  <si>
    <t>Coefficient</t>
  </si>
  <si>
    <t>Std. Error</t>
  </si>
  <si>
    <t>t-Statistic</t>
  </si>
  <si>
    <t>Prob.  </t>
  </si>
  <si>
    <t>s</t>
  </si>
  <si>
    <t>IPC(-5)</t>
  </si>
  <si>
    <t>PBI_CONSUMO(-5)</t>
  </si>
  <si>
    <t>C</t>
  </si>
  <si>
    <t>Q</t>
  </si>
  <si>
    <t>R-squared</t>
  </si>
  <si>
    <t>    Mean dependent var</t>
  </si>
  <si>
    <t>Adjusted R-squared</t>
  </si>
  <si>
    <t>    S.D. dependent var</t>
  </si>
  <si>
    <t>S.E. of regression</t>
  </si>
  <si>
    <t>    Akaike info criterion</t>
  </si>
  <si>
    <t>Sum squared resid</t>
  </si>
  <si>
    <t>    Schwarz criterion</t>
  </si>
  <si>
    <t>Log likelihood</t>
  </si>
  <si>
    <t>    Hannan-Quinn criter.</t>
  </si>
  <si>
    <t>F-statistic</t>
  </si>
  <si>
    <t>    Durbin-Watson stat</t>
  </si>
  <si>
    <t>Prob(F-statistic)</t>
  </si>
  <si>
    <t>Tabla 15. Modelo 1: Mínimos cuadrados ordinarios</t>
  </si>
  <si>
    <t>Dependent Variable: PROD_GAS</t>
  </si>
  <si>
    <t>Date: 04/11/16   Time: 20:14</t>
  </si>
  <si>
    <t>Sample (adjusted): 1995 2012</t>
  </si>
  <si>
    <t>Included observations: 18 after adjustments</t>
  </si>
  <si>
    <t>Gráfico 16. Modelo 1: Residuos</t>
  </si>
  <si>
    <t>Tabla 16. Modelo 3: Mínimos cuadrados ordinarios</t>
  </si>
  <si>
    <t>Dependent Variable: PROD_AGUA</t>
  </si>
  <si>
    <t>Date: 04/11/16   Time: 21:00</t>
  </si>
  <si>
    <t>Sample (adjusted): 1996 2012</t>
  </si>
  <si>
    <t>Convergence achieved after 18 iterations</t>
  </si>
  <si>
    <t>PBI_CONSUMO(-4)</t>
  </si>
  <si>
    <t>IPC(-4)</t>
  </si>
  <si>
    <t>Q_AGUA*@TREND</t>
  </si>
  <si>
    <t>AR(1)</t>
  </si>
  <si>
    <t>Inverted AR Roots</t>
  </si>
  <si>
    <t>      .76</t>
  </si>
  <si>
    <t>Tabla 17. Proyección bebidas con dulce y agua 2012 – 2020 (Millones de litros)</t>
  </si>
  <si>
    <t>Bebidas con dulce</t>
  </si>
  <si>
    <t>Variación anual</t>
  </si>
  <si>
    <t>1’013,276</t>
  </si>
  <si>
    <t>-- </t>
  </si>
  <si>
    <t>Última cotización (26/10/2015)</t>
  </si>
  <si>
    <t>Descripción de variables</t>
  </si>
  <si>
    <t>Modelo Gaseosas</t>
  </si>
  <si>
    <t>Coeficiente de correlación</t>
  </si>
  <si>
    <t>Participación de Mercado de Lindley</t>
  </si>
  <si>
    <t>(+/-) Capital de trabajo</t>
  </si>
  <si>
    <t>( Tasa  Impuesto a la Renta )</t>
  </si>
  <si>
    <t>Información al 31.12.2015</t>
  </si>
  <si>
    <t>METODO DE MULTIPLOS COMPARABLES</t>
  </si>
  <si>
    <t>Estado de Resultados</t>
  </si>
  <si>
    <t>Cuentas</t>
  </si>
  <si>
    <t>Ingresos</t>
  </si>
  <si>
    <t xml:space="preserve">     - Costo de los bienes vendidos</t>
  </si>
  <si>
    <t>Ingreso bruto</t>
  </si>
  <si>
    <t xml:space="preserve">     - Gastos operativos</t>
  </si>
  <si>
    <t>Otros ingresos / gastos</t>
  </si>
  <si>
    <t xml:space="preserve">     -  Ganancia (pérdida) operativa neta</t>
  </si>
  <si>
    <t xml:space="preserve">     -  Ganancia (pérdida) por gasto de intereses</t>
  </si>
  <si>
    <t xml:space="preserve">     -  Ganancias (pérdidas) por tipo de cambio</t>
  </si>
  <si>
    <t xml:space="preserve">    -   Otros</t>
  </si>
  <si>
    <t>Resultado antes de impuestos</t>
  </si>
  <si>
    <t xml:space="preserve">     -  Impuestos</t>
  </si>
  <si>
    <t>Resultado despues de impuestos</t>
  </si>
  <si>
    <t>Total acciones</t>
  </si>
  <si>
    <t>Hoja de balance</t>
  </si>
  <si>
    <t>Activo corriente total</t>
  </si>
  <si>
    <t xml:space="preserve">     + Caja y activos liquidos</t>
  </si>
  <si>
    <t xml:space="preserve">     + Inversiones de corto plazo</t>
  </si>
  <si>
    <t xml:space="preserve">     + Cuentas por cobrar</t>
  </si>
  <si>
    <t xml:space="preserve">     + Inventarios</t>
  </si>
  <si>
    <t xml:space="preserve">     + Otros activos corrientes</t>
  </si>
  <si>
    <t>Activo no corriente total</t>
  </si>
  <si>
    <t xml:space="preserve">     + Activo fijo neto</t>
  </si>
  <si>
    <t xml:space="preserve">     + Otros activos no corrientes</t>
  </si>
  <si>
    <t>Pasivo corriente total</t>
  </si>
  <si>
    <t xml:space="preserve">     + Cuentas por pagar</t>
  </si>
  <si>
    <t xml:space="preserve">     + Prestamos de corto plazo</t>
  </si>
  <si>
    <t xml:space="preserve">     + Otras obligaciones de corto plazo</t>
  </si>
  <si>
    <t>Pasivo no corriente total</t>
  </si>
  <si>
    <t xml:space="preserve">     + Obligaciones de largo plazo</t>
  </si>
  <si>
    <t xml:space="preserve">     + Otras obligaciones de largo plazo</t>
  </si>
  <si>
    <t>Patrimonio total</t>
  </si>
  <si>
    <t xml:space="preserve">     + Capital socioal</t>
  </si>
  <si>
    <t xml:space="preserve">     + Resultado retenidos y otros</t>
  </si>
  <si>
    <t xml:space="preserve">    +  Ganancias o pérdidas</t>
  </si>
  <si>
    <t xml:space="preserve">     + Intereses de participaciones no controladoras</t>
  </si>
  <si>
    <t>Pasivo más patrimonio total</t>
  </si>
  <si>
    <t>Flujo de caja</t>
  </si>
</sst>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5" formatCode="&quot;S/.&quot;\ #,##0;&quot;S/.&quot;\ \-#,##0"/>
    <numFmt numFmtId="6" formatCode="&quot;S/.&quot;\ #,##0;[Red]&quot;S/.&quot;\ \-#,##0"/>
    <numFmt numFmtId="7" formatCode="&quot;S/.&quot;\ #,##0.00;&quot;S/.&quot;\ \-#,##0.00"/>
    <numFmt numFmtId="8" formatCode="&quot;S/.&quot;\ #,##0.00;[Red]&quot;S/.&quot;\ \-#,##0.00"/>
    <numFmt numFmtId="41" formatCode="_ * #,##0_ ;_ * \-#,##0_ ;_ * &quot;-&quot;_ ;_ @_ "/>
    <numFmt numFmtId="43" formatCode="_ * #,##0.00_ ;_ * \-#,##0.00_ ;_ * &quot;-&quot;??_ ;_ @_ "/>
    <numFmt numFmtId="164" formatCode="&quot;S/.&quot;#,##0;\-&quot;S/.&quot;#,##0"/>
    <numFmt numFmtId="165" formatCode="&quot;S/.&quot;#,##0.00;\-&quot;S/.&quot;#,##0.00"/>
    <numFmt numFmtId="166" formatCode="&quot;S/.&quot;#,##0.00;[Red]\-&quot;S/.&quot;#,##0.00"/>
    <numFmt numFmtId="167" formatCode="_-* #,##0.00_-;\-* #,##0.00_-;_-* &quot;-&quot;??_-;_-@_-"/>
    <numFmt numFmtId="168" formatCode="_ * #,##0_ ;_ * \-#,##0_ ;_ * &quot;-&quot;??_ ;_ @_ "/>
    <numFmt numFmtId="169" formatCode="0.0%"/>
    <numFmt numFmtId="170" formatCode="0.0000"/>
    <numFmt numFmtId="171" formatCode="0.0"/>
    <numFmt numFmtId="172" formatCode="0\ 000"/>
    <numFmt numFmtId="173" formatCode="#,##0;[Red]#,##0"/>
    <numFmt numFmtId="174" formatCode="_([$€]\ * #,##0.00_);_([$€]\ * \(#,##0.00\);_([$€]\ * &quot;-&quot;??_);_(@_)"/>
    <numFmt numFmtId="175" formatCode="_(&quot;$&quot;* #,##0.00_);_(&quot;$&quot;* \(#,##0.00\);_(&quot;$&quot;* &quot;-&quot;??_);_(@_)"/>
    <numFmt numFmtId="176" formatCode="[$$-540A]#,##0"/>
    <numFmt numFmtId="177" formatCode="[$$-540A]#,##0.00"/>
    <numFmt numFmtId="178" formatCode="[$$-540A]#,##0.000"/>
    <numFmt numFmtId="179" formatCode="_ * #,##0.000_ ;_ * \-#,##0.000_ ;_ * &quot;-&quot;??_ ;_ @_ "/>
    <numFmt numFmtId="180" formatCode="_ * #,##0.0_ ;_ * \-#,##0.0_ ;_ * &quot;-&quot;??_ ;_ @_ "/>
    <numFmt numFmtId="181" formatCode="_-* #,##0.0_-;\-* #,##0.0_-;_-* &quot;-&quot;?_-;_-@_-"/>
    <numFmt numFmtId="182" formatCode="#,##0_ ;[Red]\-#,##0\ "/>
    <numFmt numFmtId="183" formatCode="0.000"/>
    <numFmt numFmtId="184" formatCode="_(* #,##0.00_);_(* \(#,##0.00\);_(* &quot;-&quot;??_);_(@_)"/>
    <numFmt numFmtId="185" formatCode="_(* #,##0_);_(* \(#,##0\);_(* &quot;-&quot;??_);_(@_)"/>
    <numFmt numFmtId="186" formatCode="#,##0.0"/>
    <numFmt numFmtId="187" formatCode="_-* #,##0_-;\-* #,##0_-;_-* &quot;-&quot;??_-;_-@_-"/>
    <numFmt numFmtId="188" formatCode="[$$-540A]#,##0.00_ ;\-[$$-540A]#,##0.00\ "/>
    <numFmt numFmtId="189" formatCode="[$$-540A]#,##0_ ;\-[$$-540A]#,##0\ "/>
    <numFmt numFmtId="190" formatCode="[$$-540A]#,##0_ ;[Red]\-[$$-540A]#,##0\ "/>
    <numFmt numFmtId="191" formatCode="[$$-540A]#,##0.00_ ;[Red]\-[$$-540A]#,##0.00\ "/>
    <numFmt numFmtId="192" formatCode="&quot;S/.&quot;\ #,##0.00"/>
    <numFmt numFmtId="193" formatCode="&quot;S/.&quot;#,##0.00"/>
    <numFmt numFmtId="194" formatCode="0.000%"/>
  </numFmts>
  <fonts count="99">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sz val="12"/>
      <color theme="1"/>
      <name val="Calibri"/>
      <family val="2"/>
      <scheme val="minor"/>
    </font>
    <font>
      <u/>
      <sz val="12"/>
      <color theme="10"/>
      <name val="Calibri"/>
      <family val="2"/>
      <scheme val="minor"/>
    </font>
    <font>
      <sz val="10"/>
      <name val="Arial"/>
      <family val="2"/>
    </font>
    <font>
      <sz val="8"/>
      <color indexed="81"/>
      <name val="Tahoma"/>
      <family val="2"/>
    </font>
    <font>
      <sz val="10"/>
      <name val="Geneva"/>
    </font>
    <font>
      <u/>
      <sz val="10"/>
      <color indexed="12"/>
      <name val="Geneva"/>
    </font>
    <font>
      <b/>
      <sz val="9"/>
      <color indexed="81"/>
      <name val="Geneva"/>
    </font>
    <font>
      <sz val="9"/>
      <color indexed="81"/>
      <name val="Geneva"/>
    </font>
    <font>
      <b/>
      <sz val="10"/>
      <name val="Arial"/>
      <family val="2"/>
    </font>
    <font>
      <sz val="9"/>
      <name val="Geneva"/>
    </font>
    <font>
      <b/>
      <sz val="10"/>
      <color indexed="81"/>
      <name val="Calibri"/>
      <family val="2"/>
    </font>
    <font>
      <sz val="10"/>
      <color indexed="81"/>
      <name val="Calibri"/>
      <family val="2"/>
    </font>
    <font>
      <b/>
      <u/>
      <sz val="9"/>
      <color indexed="12"/>
      <name val="Arial"/>
      <family val="2"/>
    </font>
    <font>
      <b/>
      <sz val="9"/>
      <color indexed="12"/>
      <name val="Arial"/>
      <family val="2"/>
    </font>
    <font>
      <b/>
      <sz val="9"/>
      <name val="Arial"/>
      <family val="2"/>
    </font>
    <font>
      <sz val="9"/>
      <name val="Arial"/>
      <family val="2"/>
    </font>
    <font>
      <sz val="12"/>
      <color theme="1"/>
      <name val="Arial"/>
      <family val="2"/>
    </font>
    <font>
      <b/>
      <sz val="12"/>
      <color theme="1"/>
      <name val="Arial"/>
      <family val="2"/>
    </font>
    <font>
      <b/>
      <sz val="20"/>
      <name val="Arial"/>
      <family val="2"/>
    </font>
    <font>
      <b/>
      <sz val="18"/>
      <color theme="1"/>
      <name val="Arial"/>
      <family val="2"/>
    </font>
    <font>
      <sz val="11"/>
      <color indexed="8"/>
      <name val="Calibri"/>
      <family val="2"/>
      <scheme val="minor"/>
    </font>
    <font>
      <b/>
      <sz val="9"/>
      <color rgb="FF333333"/>
      <name val="Arial"/>
      <family val="2"/>
    </font>
    <font>
      <sz val="11"/>
      <color rgb="FF333333"/>
      <name val="Arial"/>
      <family val="2"/>
    </font>
    <font>
      <sz val="10"/>
      <color theme="1"/>
      <name val="Arial"/>
      <family val="2"/>
    </font>
    <font>
      <b/>
      <sz val="10"/>
      <color theme="1"/>
      <name val="Arial"/>
      <family val="2"/>
    </font>
    <font>
      <b/>
      <sz val="9"/>
      <color theme="1"/>
      <name val="Arial"/>
      <family val="2"/>
    </font>
    <font>
      <b/>
      <sz val="11"/>
      <color theme="1"/>
      <name val="Arial"/>
      <family val="2"/>
    </font>
    <font>
      <b/>
      <sz val="14"/>
      <color theme="1"/>
      <name val="Arial"/>
      <family val="2"/>
    </font>
    <font>
      <sz val="11"/>
      <color theme="1"/>
      <name val="Arial"/>
      <family val="2"/>
    </font>
    <font>
      <b/>
      <sz val="8"/>
      <color theme="1"/>
      <name val="Arial"/>
      <family val="2"/>
    </font>
    <font>
      <sz val="10"/>
      <color rgb="FFFF0000"/>
      <name val="Arial"/>
      <family val="2"/>
    </font>
    <font>
      <b/>
      <sz val="10"/>
      <color rgb="FFFF0000"/>
      <name val="Arial"/>
      <family val="2"/>
    </font>
    <font>
      <b/>
      <sz val="16"/>
      <color theme="3"/>
      <name val="Arial"/>
      <family val="2"/>
    </font>
    <font>
      <u/>
      <sz val="12"/>
      <color theme="10"/>
      <name val="Arial"/>
      <family val="2"/>
    </font>
    <font>
      <sz val="9"/>
      <color theme="1"/>
      <name val="Arial"/>
      <family val="2"/>
    </font>
    <font>
      <b/>
      <sz val="12"/>
      <color rgb="FF000000"/>
      <name val="Arial"/>
      <family val="2"/>
    </font>
    <font>
      <i/>
      <sz val="12"/>
      <color rgb="FF000000"/>
      <name val="Arial"/>
      <family val="2"/>
    </font>
    <font>
      <sz val="12"/>
      <name val="Arial"/>
      <family val="2"/>
    </font>
    <font>
      <sz val="12"/>
      <color rgb="FF000000"/>
      <name val="Arial"/>
      <family val="2"/>
    </font>
    <font>
      <i/>
      <sz val="10"/>
      <name val="Arial"/>
      <family val="2"/>
    </font>
    <font>
      <b/>
      <sz val="10"/>
      <color rgb="FF000000"/>
      <name val="Arial"/>
      <family val="2"/>
    </font>
    <font>
      <b/>
      <i/>
      <sz val="10"/>
      <color rgb="FF000000"/>
      <name val="Arial"/>
      <family val="2"/>
    </font>
    <font>
      <u/>
      <sz val="10"/>
      <color indexed="12"/>
      <name val="Arial"/>
      <family val="2"/>
    </font>
    <font>
      <sz val="10"/>
      <color rgb="FF000000"/>
      <name val="Arial"/>
      <family val="2"/>
    </font>
    <font>
      <sz val="10"/>
      <color indexed="10"/>
      <name val="Arial"/>
      <family val="2"/>
    </font>
    <font>
      <b/>
      <i/>
      <sz val="10"/>
      <name val="Arial"/>
      <family val="2"/>
    </font>
    <font>
      <u/>
      <sz val="10"/>
      <name val="Arial"/>
      <family val="2"/>
    </font>
    <font>
      <i/>
      <u/>
      <sz val="10"/>
      <name val="Arial"/>
      <family val="2"/>
    </font>
    <font>
      <b/>
      <u/>
      <sz val="10"/>
      <name val="Arial"/>
      <family val="2"/>
    </font>
    <font>
      <b/>
      <i/>
      <u/>
      <sz val="10"/>
      <name val="Arial"/>
      <family val="2"/>
    </font>
    <font>
      <sz val="11"/>
      <color rgb="FFFF0000"/>
      <name val="Arial"/>
      <family val="2"/>
    </font>
    <font>
      <b/>
      <sz val="11"/>
      <name val="Arial"/>
      <family val="2"/>
    </font>
    <font>
      <b/>
      <sz val="10"/>
      <color theme="0"/>
      <name val="Arial"/>
      <family val="2"/>
    </font>
    <font>
      <b/>
      <sz val="14"/>
      <color theme="0"/>
      <name val="Arial"/>
      <family val="2"/>
    </font>
    <font>
      <sz val="10"/>
      <color indexed="12"/>
      <name val="Arial"/>
      <family val="2"/>
    </font>
    <font>
      <b/>
      <sz val="10"/>
      <color indexed="9"/>
      <name val="Arial"/>
      <family val="2"/>
    </font>
    <font>
      <sz val="8"/>
      <name val="Arial"/>
      <family val="2"/>
    </font>
    <font>
      <sz val="7"/>
      <name val="Arial"/>
      <family val="2"/>
    </font>
    <font>
      <b/>
      <sz val="7"/>
      <name val="Arial"/>
      <family val="2"/>
    </font>
    <font>
      <b/>
      <sz val="16"/>
      <color theme="1"/>
      <name val="Arial"/>
      <family val="2"/>
    </font>
    <font>
      <u/>
      <sz val="11"/>
      <color theme="1"/>
      <name val="Arial"/>
      <family val="2"/>
    </font>
    <font>
      <i/>
      <sz val="11"/>
      <color theme="1"/>
      <name val="Arial"/>
      <family val="2"/>
    </font>
    <font>
      <b/>
      <sz val="10"/>
      <color theme="5" tint="-0.249977111117893"/>
      <name val="Arial"/>
      <family val="2"/>
    </font>
    <font>
      <b/>
      <sz val="11"/>
      <color theme="1"/>
      <name val="Calibri"/>
      <family val="2"/>
      <scheme val="minor"/>
    </font>
    <font>
      <b/>
      <sz val="14"/>
      <color theme="1"/>
      <name val="Calibri"/>
      <family val="2"/>
      <scheme val="minor"/>
    </font>
    <font>
      <b/>
      <sz val="14"/>
      <color rgb="FF002060"/>
      <name val="Calibri"/>
      <family val="2"/>
      <scheme val="minor"/>
    </font>
    <font>
      <b/>
      <sz val="14"/>
      <name val="Arial"/>
      <family val="2"/>
    </font>
    <font>
      <sz val="10"/>
      <color indexed="8"/>
      <name val="Arial"/>
      <family val="2"/>
    </font>
    <font>
      <sz val="11"/>
      <name val="Arial"/>
      <family val="2"/>
    </font>
    <font>
      <b/>
      <sz val="11"/>
      <color indexed="8"/>
      <name val="Calibri"/>
      <family val="2"/>
    </font>
    <font>
      <b/>
      <sz val="11"/>
      <color rgb="FFFFFFFF"/>
      <name val="Calibri"/>
      <family val="2"/>
    </font>
    <font>
      <sz val="11"/>
      <color indexed="8"/>
      <name val="Calibri"/>
      <family val="2"/>
    </font>
    <font>
      <b/>
      <sz val="18"/>
      <color rgb="FF1F497D"/>
      <name val="Calibri"/>
      <family val="2"/>
    </font>
    <font>
      <b/>
      <i/>
      <sz val="11"/>
      <color rgb="FF1F497D"/>
      <name val="Calibri"/>
      <family val="2"/>
    </font>
    <font>
      <b/>
      <sz val="11"/>
      <name val="Calibri"/>
      <family val="2"/>
    </font>
    <font>
      <sz val="11"/>
      <name val="Calibri"/>
      <family val="2"/>
    </font>
    <font>
      <sz val="11"/>
      <name val="Calibri"/>
      <family val="2"/>
      <scheme val="minor"/>
    </font>
    <font>
      <i/>
      <sz val="9"/>
      <name val="Calibri"/>
      <family val="2"/>
    </font>
    <font>
      <b/>
      <u/>
      <sz val="14"/>
      <color theme="0"/>
      <name val="Calibri"/>
      <family val="2"/>
    </font>
    <font>
      <sz val="11"/>
      <color theme="0"/>
      <name val="Calibri"/>
      <family val="2"/>
      <scheme val="minor"/>
    </font>
    <font>
      <b/>
      <sz val="11"/>
      <color theme="0"/>
      <name val="Calibri"/>
      <family val="2"/>
    </font>
    <font>
      <sz val="11"/>
      <color theme="0"/>
      <name val="Calibri"/>
      <family val="2"/>
    </font>
    <font>
      <b/>
      <sz val="10"/>
      <color theme="1"/>
      <name val="Segoe UI"/>
      <family val="2"/>
    </font>
    <font>
      <sz val="10"/>
      <color theme="1"/>
      <name val="Segoe UI"/>
      <family val="2"/>
    </font>
    <font>
      <sz val="10"/>
      <color rgb="FF000000"/>
      <name val="Segoe UI"/>
      <family val="2"/>
    </font>
    <font>
      <b/>
      <sz val="10"/>
      <color rgb="FF000000"/>
      <name val="Segoe UI"/>
      <family val="2"/>
    </font>
    <font>
      <b/>
      <u/>
      <sz val="10"/>
      <color theme="1"/>
      <name val="Segoe UI"/>
      <family val="2"/>
    </font>
    <font>
      <u/>
      <sz val="10"/>
      <color rgb="FF000000"/>
      <name val="Segoe UI"/>
      <family val="2"/>
    </font>
    <font>
      <sz val="9"/>
      <color rgb="FF0070C0"/>
      <name val="Arial"/>
      <family val="2"/>
    </font>
    <font>
      <b/>
      <sz val="9"/>
      <color rgb="FF0070C0"/>
      <name val="Arial"/>
      <family val="2"/>
    </font>
    <font>
      <b/>
      <sz val="9"/>
      <color theme="0"/>
      <name val="Arial"/>
      <family val="2"/>
    </font>
    <font>
      <i/>
      <sz val="11"/>
      <name val="Arial"/>
      <family val="2"/>
    </font>
    <font>
      <b/>
      <i/>
      <sz val="11"/>
      <name val="Arial"/>
      <family val="2"/>
    </font>
    <font>
      <b/>
      <u/>
      <sz val="11"/>
      <color theme="0"/>
      <name val="Calibri"/>
      <family val="2"/>
      <scheme val="minor"/>
    </font>
    <font>
      <b/>
      <u/>
      <sz val="14"/>
      <color theme="0"/>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13"/>
        <bgColor indexed="64"/>
      </patternFill>
    </fill>
    <fill>
      <patternFill patternType="solid">
        <fgColor indexed="4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CCCCFF"/>
        <bgColor indexed="64"/>
      </patternFill>
    </fill>
    <fill>
      <patternFill patternType="solid">
        <fgColor rgb="FFDDDDFF"/>
        <bgColor indexed="64"/>
      </patternFill>
    </fill>
    <fill>
      <patternFill patternType="solid">
        <fgColor rgb="FFFFFF66"/>
        <bgColor indexed="64"/>
      </patternFill>
    </fill>
    <fill>
      <patternFill patternType="solid">
        <fgColor rgb="FF0070C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76979D"/>
        <bgColor indexed="64"/>
      </patternFill>
    </fill>
    <fill>
      <patternFill patternType="solid">
        <fgColor rgb="FF526D72"/>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indexed="9"/>
        <bgColor indexed="64"/>
      </patternFill>
    </fill>
    <fill>
      <patternFill patternType="solid">
        <fgColor rgb="FFE5ECF9"/>
        <bgColor indexed="64"/>
      </patternFill>
    </fill>
    <fill>
      <patternFill patternType="solid">
        <fgColor rgb="FFFFFFFF"/>
        <bgColor indexed="64"/>
      </patternFill>
    </fill>
    <fill>
      <patternFill patternType="solid">
        <fgColor rgb="FFEFEFEF"/>
        <bgColor indexed="64"/>
      </patternFill>
    </fill>
    <fill>
      <patternFill patternType="solid">
        <fgColor theme="9" tint="-0.249977111117893"/>
        <bgColor indexed="64"/>
      </patternFill>
    </fill>
    <fill>
      <patternFill patternType="solid">
        <fgColor theme="0"/>
        <bgColor rgb="FF000000"/>
      </patternFill>
    </fill>
    <fill>
      <gradientFill>
        <stop position="0">
          <color rgb="FF000000"/>
        </stop>
        <stop position="0.5">
          <color rgb="FF808080"/>
        </stop>
        <stop position="1">
          <color rgb="FF000000"/>
        </stop>
      </gradientFill>
    </fill>
    <fill>
      <patternFill patternType="solid">
        <fgColor rgb="FF5B9BD5"/>
        <bgColor indexed="64"/>
      </patternFill>
    </fill>
    <fill>
      <patternFill patternType="solid">
        <fgColor theme="4"/>
        <bgColor indexed="64"/>
      </patternFill>
    </fill>
    <fill>
      <patternFill patternType="solid">
        <fgColor theme="4"/>
        <bgColor auto="1"/>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thin">
        <color theme="4"/>
      </top>
      <bottom style="thin">
        <color theme="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style="thin">
        <color indexed="64"/>
      </right>
      <top/>
      <bottom style="thin">
        <color indexed="64"/>
      </bottom>
      <diagonal/>
    </border>
    <border>
      <left/>
      <right style="medium">
        <color rgb="FF000000"/>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rgb="FF000000"/>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theme="0" tint="-0.14993743705557422"/>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style="thin">
        <color theme="4"/>
      </top>
      <bottom style="thin">
        <color indexed="64"/>
      </bottom>
      <diagonal/>
    </border>
    <border>
      <left/>
      <right/>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diagonal/>
    </border>
    <border>
      <left/>
      <right style="hair">
        <color theme="0" tint="-0.14993743705557422"/>
      </right>
      <top style="hair">
        <color theme="0" tint="-0.14993743705557422"/>
      </top>
      <bottom/>
      <diagonal/>
    </border>
    <border>
      <left style="hair">
        <color theme="0" tint="-0.14993743705557422"/>
      </left>
      <right/>
      <top style="hair">
        <color theme="0" tint="-0.14993743705557422"/>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hair">
        <color theme="0" tint="-0.14993743705557422"/>
      </left>
      <right style="hair">
        <color theme="0" tint="-0.14993743705557422"/>
      </right>
      <top style="hair">
        <color theme="0" tint="-0.14993743705557422"/>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indexed="8"/>
      </left>
      <right style="thin">
        <color indexed="9"/>
      </right>
      <top style="thin">
        <color indexed="8"/>
      </top>
      <bottom style="thin">
        <color theme="0"/>
      </bottom>
      <diagonal/>
    </border>
    <border>
      <left style="thin">
        <color indexed="9"/>
      </left>
      <right style="thin">
        <color indexed="9"/>
      </right>
      <top style="thin">
        <color indexed="8"/>
      </top>
      <bottom style="thin">
        <color theme="0"/>
      </bottom>
      <diagonal/>
    </border>
    <border>
      <left style="thin">
        <color indexed="9"/>
      </left>
      <right/>
      <top style="thin">
        <color indexed="8"/>
      </top>
      <bottom style="thin">
        <color theme="0"/>
      </bottom>
      <diagonal/>
    </border>
    <border>
      <left style="medium">
        <color rgb="FF84B3DF"/>
      </left>
      <right/>
      <top style="medium">
        <color rgb="FF84B3DF"/>
      </top>
      <bottom style="medium">
        <color rgb="FF84B3DF"/>
      </bottom>
      <diagonal/>
    </border>
    <border>
      <left/>
      <right/>
      <top style="medium">
        <color rgb="FF84B3DF"/>
      </top>
      <bottom style="medium">
        <color rgb="FF84B3DF"/>
      </bottom>
      <diagonal/>
    </border>
    <border>
      <left/>
      <right style="medium">
        <color rgb="FF84B3DF"/>
      </right>
      <top style="medium">
        <color rgb="FF84B3DF"/>
      </top>
      <bottom style="medium">
        <color rgb="FF84B3DF"/>
      </bottom>
      <diagonal/>
    </border>
    <border>
      <left style="medium">
        <color rgb="FF84B3DF"/>
      </left>
      <right/>
      <top/>
      <bottom style="medium">
        <color rgb="FF84B3DF"/>
      </bottom>
      <diagonal/>
    </border>
    <border>
      <left/>
      <right/>
      <top/>
      <bottom style="medium">
        <color rgb="FF84B3DF"/>
      </bottom>
      <diagonal/>
    </border>
    <border>
      <left/>
      <right style="medium">
        <color rgb="FF84B3DF"/>
      </right>
      <top/>
      <bottom style="medium">
        <color rgb="FF84B3DF"/>
      </bottom>
      <diagonal/>
    </border>
  </borders>
  <cellStyleXfs count="22">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6" fillId="0" borderId="0"/>
    <xf numFmtId="174" fontId="6"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175" fontId="8" fillId="0" borderId="0" applyFont="0" applyFill="0" applyBorder="0" applyAlignment="0" applyProtection="0"/>
    <xf numFmtId="9" fontId="8" fillId="0" borderId="0" applyFont="0" applyFill="0" applyBorder="0" applyAlignment="0" applyProtection="0"/>
    <xf numFmtId="0" fontId="13" fillId="0" borderId="0"/>
    <xf numFmtId="9" fontId="13" fillId="0" borderId="0" applyFont="0" applyFill="0" applyBorder="0" applyAlignment="0" applyProtection="0"/>
    <xf numFmtId="18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4" fillId="0" borderId="0"/>
    <xf numFmtId="41" fontId="1" fillId="0" borderId="0" applyFont="0" applyFill="0" applyBorder="0" applyAlignment="0" applyProtection="0"/>
    <xf numFmtId="0" fontId="6" fillId="0" borderId="0"/>
    <xf numFmtId="43" fontId="6" fillId="0" borderId="0" applyFont="0" applyFill="0" applyBorder="0" applyAlignment="0" applyProtection="0"/>
    <xf numFmtId="167" fontId="1" fillId="0" borderId="0" applyFont="0" applyFill="0" applyBorder="0" applyAlignment="0" applyProtection="0"/>
  </cellStyleXfs>
  <cellXfs count="1858">
    <xf numFmtId="0" fontId="0" fillId="0" borderId="0" xfId="0"/>
    <xf numFmtId="0" fontId="6" fillId="0" borderId="0" xfId="0" applyFont="1" applyAlignment="1">
      <alignment horizontal="center"/>
    </xf>
    <xf numFmtId="0" fontId="6" fillId="0" borderId="0" xfId="0" applyFont="1"/>
    <xf numFmtId="0" fontId="6" fillId="0" borderId="7" xfId="0" applyFont="1" applyBorder="1"/>
    <xf numFmtId="168" fontId="6" fillId="0" borderId="7" xfId="1" applyNumberFormat="1" applyFont="1" applyBorder="1"/>
    <xf numFmtId="43" fontId="6" fillId="0" borderId="7" xfId="1" applyNumberFormat="1" applyFont="1" applyBorder="1"/>
    <xf numFmtId="0" fontId="6" fillId="0" borderId="7" xfId="0" applyFont="1" applyBorder="1" applyAlignment="1">
      <alignment horizontal="center"/>
    </xf>
    <xf numFmtId="168" fontId="6" fillId="0" borderId="0" xfId="1" applyNumberFormat="1" applyFont="1"/>
    <xf numFmtId="43" fontId="6" fillId="0" borderId="0" xfId="1" applyNumberFormat="1" applyFont="1"/>
    <xf numFmtId="0" fontId="12" fillId="0" borderId="0" xfId="0" applyFont="1" applyAlignment="1">
      <alignment horizontal="center"/>
    </xf>
    <xf numFmtId="0" fontId="6" fillId="0" borderId="0" xfId="0" applyFont="1" applyBorder="1"/>
    <xf numFmtId="168" fontId="6" fillId="0" borderId="0" xfId="1" applyNumberFormat="1" applyFont="1" applyBorder="1"/>
    <xf numFmtId="43" fontId="6" fillId="0" borderId="0" xfId="1" applyNumberFormat="1" applyFont="1" applyBorder="1"/>
    <xf numFmtId="0" fontId="12" fillId="0" borderId="0" xfId="0" applyFont="1" applyBorder="1" applyAlignment="1">
      <alignment horizontal="center"/>
    </xf>
    <xf numFmtId="9" fontId="12" fillId="0" borderId="7" xfId="2" applyFont="1" applyBorder="1"/>
    <xf numFmtId="169" fontId="12" fillId="0" borderId="7" xfId="2" applyNumberFormat="1" applyFont="1" applyBorder="1"/>
    <xf numFmtId="169" fontId="12" fillId="0" borderId="0" xfId="2" applyNumberFormat="1" applyFont="1" applyBorder="1"/>
    <xf numFmtId="0" fontId="6" fillId="0" borderId="0" xfId="0" applyFont="1" applyBorder="1" applyAlignment="1">
      <alignment horizontal="center"/>
    </xf>
    <xf numFmtId="0" fontId="17" fillId="2" borderId="30" xfId="0" applyFont="1" applyFill="1" applyBorder="1" applyAlignment="1"/>
    <xf numFmtId="0" fontId="17" fillId="2" borderId="0" xfId="0" applyFont="1" applyFill="1" applyBorder="1" applyAlignment="1"/>
    <xf numFmtId="0" fontId="17" fillId="2" borderId="39" xfId="0" applyFont="1" applyFill="1" applyBorder="1" applyAlignment="1"/>
    <xf numFmtId="0" fontId="17" fillId="2" borderId="30" xfId="0" applyFont="1" applyFill="1" applyBorder="1" applyAlignment="1">
      <alignment horizontal="left"/>
    </xf>
    <xf numFmtId="0" fontId="17" fillId="2" borderId="0" xfId="0" applyFont="1" applyFill="1" applyBorder="1" applyAlignment="1">
      <alignment horizontal="left"/>
    </xf>
    <xf numFmtId="0" fontId="17" fillId="2" borderId="39" xfId="0" applyFont="1" applyFill="1" applyBorder="1" applyAlignment="1">
      <alignment horizontal="left"/>
    </xf>
    <xf numFmtId="0" fontId="17" fillId="2" borderId="27" xfId="0" applyFont="1" applyFill="1" applyBorder="1" applyAlignment="1">
      <alignment horizontal="left"/>
    </xf>
    <xf numFmtId="0" fontId="17" fillId="2" borderId="6" xfId="0" applyFont="1" applyFill="1" applyBorder="1" applyAlignment="1">
      <alignment horizontal="left"/>
    </xf>
    <xf numFmtId="0" fontId="17" fillId="2" borderId="25" xfId="0" applyFont="1" applyFill="1" applyBorder="1" applyAlignment="1">
      <alignment horizontal="left"/>
    </xf>
    <xf numFmtId="0" fontId="20" fillId="0" borderId="0" xfId="0" applyFont="1" applyAlignment="1">
      <alignment horizontal="left" vertical="center"/>
    </xf>
    <xf numFmtId="0" fontId="21" fillId="0" borderId="0" xfId="0" applyFont="1"/>
    <xf numFmtId="0" fontId="22" fillId="0" borderId="0" xfId="0" applyFont="1"/>
    <xf numFmtId="0" fontId="12" fillId="0" borderId="30" xfId="6" applyFont="1" applyBorder="1"/>
    <xf numFmtId="184" fontId="12" fillId="26" borderId="0" xfId="14" applyFont="1" applyFill="1" applyBorder="1" applyAlignment="1">
      <alignment horizontal="center" vertical="center"/>
    </xf>
    <xf numFmtId="0" fontId="12" fillId="0" borderId="8" xfId="6" applyFont="1" applyBorder="1"/>
    <xf numFmtId="186" fontId="12" fillId="0" borderId="9" xfId="6" applyNumberFormat="1" applyFont="1" applyBorder="1"/>
    <xf numFmtId="186" fontId="12" fillId="0" borderId="10" xfId="6" applyNumberFormat="1" applyFont="1" applyBorder="1"/>
    <xf numFmtId="0" fontId="12" fillId="0" borderId="8" xfId="6" applyFont="1" applyFill="1" applyBorder="1"/>
    <xf numFmtId="186" fontId="12" fillId="0" borderId="9" xfId="6" applyNumberFormat="1" applyFont="1" applyFill="1" applyBorder="1"/>
    <xf numFmtId="186" fontId="12" fillId="0" borderId="10" xfId="6" applyNumberFormat="1" applyFont="1" applyFill="1" applyBorder="1"/>
    <xf numFmtId="1" fontId="12" fillId="0" borderId="9" xfId="6" applyNumberFormat="1" applyFont="1" applyBorder="1"/>
    <xf numFmtId="1" fontId="12" fillId="0" borderId="10" xfId="6" applyNumberFormat="1" applyFont="1" applyBorder="1"/>
    <xf numFmtId="0" fontId="12" fillId="0" borderId="0" xfId="6" applyFont="1"/>
    <xf numFmtId="0" fontId="18" fillId="0" borderId="0" xfId="6" applyFont="1" applyFill="1" applyBorder="1"/>
    <xf numFmtId="0" fontId="12" fillId="0" borderId="0" xfId="6" applyFont="1" applyBorder="1"/>
    <xf numFmtId="9" fontId="12" fillId="3" borderId="7" xfId="6" applyNumberFormat="1" applyFont="1" applyFill="1" applyBorder="1" applyAlignment="1">
      <alignment horizontal="center"/>
    </xf>
    <xf numFmtId="0" fontId="25" fillId="28" borderId="67" xfId="0" applyFont="1" applyFill="1" applyBorder="1" applyAlignment="1">
      <alignment horizontal="center" vertical="center" wrapText="1"/>
    </xf>
    <xf numFmtId="0" fontId="25" fillId="28" borderId="68" xfId="0" applyFont="1" applyFill="1" applyBorder="1" applyAlignment="1">
      <alignment horizontal="center" vertical="center" wrapText="1"/>
    </xf>
    <xf numFmtId="0" fontId="26" fillId="29" borderId="67" xfId="0" applyFont="1" applyFill="1" applyBorder="1" applyAlignment="1">
      <alignment horizontal="right" vertical="center" wrapText="1"/>
    </xf>
    <xf numFmtId="0" fontId="26" fillId="29" borderId="69" xfId="0" applyFont="1" applyFill="1" applyBorder="1" applyAlignment="1">
      <alignment horizontal="right" vertical="center" wrapText="1"/>
    </xf>
    <xf numFmtId="43" fontId="26" fillId="29" borderId="69" xfId="1" applyFont="1" applyFill="1" applyBorder="1" applyAlignment="1">
      <alignment horizontal="right" vertical="center" wrapText="1"/>
    </xf>
    <xf numFmtId="0" fontId="26" fillId="30" borderId="67" xfId="0" applyFont="1" applyFill="1" applyBorder="1" applyAlignment="1">
      <alignment horizontal="right" vertical="center" wrapText="1"/>
    </xf>
    <xf numFmtId="0" fontId="26" fillId="30" borderId="69" xfId="0" applyFont="1" applyFill="1" applyBorder="1" applyAlignment="1">
      <alignment horizontal="right" vertical="center" wrapText="1"/>
    </xf>
    <xf numFmtId="0" fontId="22" fillId="2" borderId="0" xfId="0" applyFont="1" applyFill="1" applyBorder="1"/>
    <xf numFmtId="0" fontId="17" fillId="2" borderId="23" xfId="0" applyFont="1" applyFill="1" applyBorder="1" applyAlignment="1">
      <alignment horizontal="left"/>
    </xf>
    <xf numFmtId="0" fontId="17" fillId="2" borderId="24" xfId="0" applyFont="1" applyFill="1" applyBorder="1" applyAlignment="1">
      <alignment horizontal="left"/>
    </xf>
    <xf numFmtId="0" fontId="17" fillId="2" borderId="28" xfId="0" applyFont="1" applyFill="1" applyBorder="1" applyAlignment="1">
      <alignment horizontal="left"/>
    </xf>
    <xf numFmtId="0" fontId="25" fillId="13" borderId="70" xfId="0" applyFont="1" applyFill="1" applyBorder="1" applyAlignment="1">
      <alignment horizontal="center" vertical="center" wrapText="1"/>
    </xf>
    <xf numFmtId="0" fontId="12" fillId="0" borderId="0" xfId="19" applyFont="1"/>
    <xf numFmtId="0" fontId="6" fillId="0" borderId="0" xfId="19" applyFont="1"/>
    <xf numFmtId="0" fontId="12" fillId="0" borderId="0" xfId="19" applyFont="1" applyFill="1"/>
    <xf numFmtId="0" fontId="12" fillId="0" borderId="0" xfId="19" applyFont="1" applyAlignment="1">
      <alignment horizontal="center" vertical="center"/>
    </xf>
    <xf numFmtId="43" fontId="6" fillId="0" borderId="0" xfId="19" applyNumberFormat="1" applyFont="1"/>
    <xf numFmtId="0" fontId="21" fillId="2" borderId="0" xfId="0" applyFont="1" applyFill="1"/>
    <xf numFmtId="0" fontId="27" fillId="0" borderId="0" xfId="0" applyFont="1"/>
    <xf numFmtId="188" fontId="28" fillId="0" borderId="6" xfId="1" applyNumberFormat="1" applyFont="1" applyFill="1" applyBorder="1" applyAlignment="1">
      <alignment horizontal="center" vertical="center" wrapText="1"/>
    </xf>
    <xf numFmtId="188" fontId="29" fillId="0" borderId="25" xfId="1" applyNumberFormat="1" applyFont="1" applyFill="1" applyBorder="1" applyAlignment="1">
      <alignment horizontal="center" vertical="center" wrapText="1"/>
    </xf>
    <xf numFmtId="176" fontId="27" fillId="0" borderId="24" xfId="0" applyNumberFormat="1" applyFont="1" applyFill="1" applyBorder="1"/>
    <xf numFmtId="188" fontId="27" fillId="0" borderId="28" xfId="1" applyNumberFormat="1" applyFont="1" applyFill="1" applyBorder="1"/>
    <xf numFmtId="176" fontId="27" fillId="0" borderId="0" xfId="0" applyNumberFormat="1" applyFont="1" applyFill="1" applyBorder="1"/>
    <xf numFmtId="188" fontId="27" fillId="0" borderId="39" xfId="1" applyNumberFormat="1" applyFont="1" applyFill="1" applyBorder="1"/>
    <xf numFmtId="0" fontId="27" fillId="2" borderId="8" xfId="0" applyFont="1" applyFill="1" applyBorder="1" applyAlignment="1">
      <alignment horizontal="left"/>
    </xf>
    <xf numFmtId="0" fontId="27" fillId="2" borderId="9" xfId="0" applyFont="1" applyFill="1" applyBorder="1" applyAlignment="1">
      <alignment horizontal="left"/>
    </xf>
    <xf numFmtId="176" fontId="27" fillId="2" borderId="9" xfId="0" applyNumberFormat="1" applyFont="1" applyFill="1" applyBorder="1"/>
    <xf numFmtId="188" fontId="27" fillId="2" borderId="10" xfId="1" applyNumberFormat="1" applyFont="1" applyFill="1" applyBorder="1"/>
    <xf numFmtId="0" fontId="27" fillId="0" borderId="9" xfId="0" applyFont="1" applyBorder="1"/>
    <xf numFmtId="168" fontId="28" fillId="0" borderId="9" xfId="0" applyNumberFormat="1" applyFont="1" applyFill="1" applyBorder="1" applyAlignment="1">
      <alignment vertical="center" wrapText="1"/>
    </xf>
    <xf numFmtId="9" fontId="27" fillId="0" borderId="0" xfId="2" applyFont="1"/>
    <xf numFmtId="176" fontId="28" fillId="2" borderId="9" xfId="0" applyNumberFormat="1" applyFont="1" applyFill="1" applyBorder="1"/>
    <xf numFmtId="188" fontId="28" fillId="2" borderId="10" xfId="1" applyNumberFormat="1" applyFont="1" applyFill="1" applyBorder="1"/>
    <xf numFmtId="188" fontId="27" fillId="0" borderId="0" xfId="0" applyNumberFormat="1" applyFont="1"/>
    <xf numFmtId="188" fontId="27" fillId="0" borderId="0" xfId="1" applyNumberFormat="1" applyFont="1" applyFill="1" applyBorder="1"/>
    <xf numFmtId="0" fontId="28" fillId="0" borderId="0" xfId="0" applyFont="1" applyBorder="1"/>
    <xf numFmtId="9" fontId="6" fillId="0" borderId="0" xfId="0" applyNumberFormat="1" applyFont="1"/>
    <xf numFmtId="9" fontId="12" fillId="0" borderId="0" xfId="0" applyNumberFormat="1" applyFont="1"/>
    <xf numFmtId="0" fontId="18" fillId="2" borderId="30" xfId="0" applyFont="1" applyFill="1" applyBorder="1" applyAlignment="1">
      <alignment horizontal="center"/>
    </xf>
    <xf numFmtId="0" fontId="18" fillId="2" borderId="39" xfId="0" applyFont="1" applyFill="1" applyBorder="1" applyAlignment="1">
      <alignment horizontal="center"/>
    </xf>
    <xf numFmtId="9" fontId="6" fillId="0" borderId="0" xfId="2" applyFont="1"/>
    <xf numFmtId="0" fontId="27" fillId="2" borderId="0" xfId="0" applyFont="1" applyFill="1"/>
    <xf numFmtId="0" fontId="28" fillId="2" borderId="0" xfId="0" applyFont="1" applyFill="1" applyAlignment="1"/>
    <xf numFmtId="0" fontId="27" fillId="2" borderId="0" xfId="0" applyFont="1" applyFill="1" applyBorder="1"/>
    <xf numFmtId="0" fontId="31" fillId="2" borderId="0" xfId="0" applyFont="1" applyFill="1" applyAlignment="1"/>
    <xf numFmtId="0" fontId="32" fillId="2" borderId="0" xfId="0" applyFont="1" applyFill="1"/>
    <xf numFmtId="0" fontId="27" fillId="0" borderId="6" xfId="0" applyFont="1" applyBorder="1" applyAlignment="1">
      <alignment horizontal="center"/>
    </xf>
    <xf numFmtId="0" fontId="28" fillId="0" borderId="7" xfId="0" applyFont="1" applyBorder="1" applyAlignment="1">
      <alignment horizontal="center"/>
    </xf>
    <xf numFmtId="0" fontId="33" fillId="0" borderId="7" xfId="0" applyFont="1" applyFill="1" applyBorder="1" applyAlignment="1">
      <alignment horizontal="left"/>
    </xf>
    <xf numFmtId="0" fontId="30" fillId="0" borderId="7" xfId="0" applyFont="1" applyBorder="1" applyAlignment="1">
      <alignment horizontal="center"/>
    </xf>
    <xf numFmtId="0" fontId="28" fillId="0" borderId="7" xfId="0" applyFont="1" applyBorder="1" applyAlignment="1">
      <alignment horizontal="left"/>
    </xf>
    <xf numFmtId="168" fontId="27" fillId="0" borderId="7" xfId="1" applyNumberFormat="1" applyFont="1" applyBorder="1"/>
    <xf numFmtId="188" fontId="6" fillId="0" borderId="7" xfId="1" applyNumberFormat="1" applyFont="1" applyFill="1" applyBorder="1" applyAlignment="1">
      <alignment horizontal="center" vertical="center"/>
    </xf>
    <xf numFmtId="189" fontId="6" fillId="0" borderId="7" xfId="1" applyNumberFormat="1" applyFont="1" applyFill="1" applyBorder="1" applyAlignment="1">
      <alignment horizontal="center" vertical="center"/>
    </xf>
    <xf numFmtId="43" fontId="32" fillId="0" borderId="7" xfId="1" applyNumberFormat="1" applyFont="1" applyBorder="1"/>
    <xf numFmtId="168" fontId="28" fillId="0" borderId="7" xfId="1" applyNumberFormat="1" applyFont="1" applyBorder="1"/>
    <xf numFmtId="168" fontId="12" fillId="0" borderId="7" xfId="0" applyNumberFormat="1" applyFont="1" applyFill="1" applyBorder="1" applyAlignment="1">
      <alignment horizontal="center" vertical="center"/>
    </xf>
    <xf numFmtId="188" fontId="12" fillId="0" borderId="7" xfId="1" applyNumberFormat="1" applyFont="1" applyFill="1" applyBorder="1" applyAlignment="1">
      <alignment horizontal="center" vertical="center"/>
    </xf>
    <xf numFmtId="189" fontId="12" fillId="0" borderId="7" xfId="1" applyNumberFormat="1" applyFont="1" applyFill="1" applyBorder="1" applyAlignment="1">
      <alignment horizontal="center" vertical="center"/>
    </xf>
    <xf numFmtId="0" fontId="28" fillId="2" borderId="6" xfId="0" applyFont="1" applyFill="1" applyBorder="1"/>
    <xf numFmtId="0" fontId="27" fillId="2" borderId="6" xfId="0" applyFont="1" applyFill="1" applyBorder="1"/>
    <xf numFmtId="0" fontId="34" fillId="2" borderId="0" xfId="0" applyFont="1" applyFill="1"/>
    <xf numFmtId="168" fontId="27" fillId="2" borderId="0" xfId="1" applyNumberFormat="1" applyFont="1" applyFill="1" applyBorder="1"/>
    <xf numFmtId="0" fontId="6" fillId="2" borderId="0" xfId="0" applyFont="1" applyFill="1" applyBorder="1"/>
    <xf numFmtId="0" fontId="35" fillId="0" borderId="0" xfId="0" applyFont="1" applyFill="1" applyBorder="1" applyAlignment="1">
      <alignment horizontal="center" vertical="center"/>
    </xf>
    <xf numFmtId="0" fontId="6" fillId="0" borderId="0" xfId="0" applyFont="1" applyFill="1" applyBorder="1"/>
    <xf numFmtId="168" fontId="6" fillId="0" borderId="0" xfId="1" applyNumberFormat="1" applyFont="1" applyFill="1" applyBorder="1"/>
    <xf numFmtId="10" fontId="27" fillId="2" borderId="0" xfId="2" applyNumberFormat="1" applyFont="1" applyFill="1" applyBorder="1"/>
    <xf numFmtId="0" fontId="27" fillId="0" borderId="0" xfId="0" applyFont="1" applyFill="1" applyBorder="1"/>
    <xf numFmtId="2" fontId="27" fillId="2" borderId="0" xfId="0" applyNumberFormat="1" applyFont="1" applyFill="1" applyBorder="1"/>
    <xf numFmtId="43" fontId="28" fillId="2" borderId="0" xfId="1" applyFont="1" applyFill="1" applyBorder="1"/>
    <xf numFmtId="43" fontId="27" fillId="2" borderId="0" xfId="0" applyNumberFormat="1" applyFont="1" applyFill="1" applyBorder="1"/>
    <xf numFmtId="10" fontId="27" fillId="2" borderId="0" xfId="0" applyNumberFormat="1" applyFont="1" applyFill="1" applyBorder="1"/>
    <xf numFmtId="0" fontId="6" fillId="2" borderId="0" xfId="0" applyFont="1" applyFill="1" applyBorder="1" applyAlignment="1">
      <alignment wrapText="1"/>
    </xf>
    <xf numFmtId="10" fontId="6" fillId="2" borderId="0" xfId="2" applyNumberFormat="1" applyFont="1" applyFill="1" applyBorder="1"/>
    <xf numFmtId="0" fontId="12" fillId="9" borderId="0" xfId="0" applyFont="1" applyFill="1" applyBorder="1"/>
    <xf numFmtId="10" fontId="28" fillId="9" borderId="0" xfId="0" applyNumberFormat="1" applyFont="1" applyFill="1" applyBorder="1"/>
    <xf numFmtId="0" fontId="28" fillId="2" borderId="0" xfId="0" applyFont="1" applyFill="1" applyBorder="1" applyAlignment="1">
      <alignment horizontal="left" vertical="center"/>
    </xf>
    <xf numFmtId="181" fontId="27" fillId="2" borderId="0" xfId="0" applyNumberFormat="1" applyFont="1" applyFill="1" applyBorder="1"/>
    <xf numFmtId="0" fontId="34" fillId="2" borderId="0" xfId="0" applyFont="1" applyFill="1" applyBorder="1"/>
    <xf numFmtId="0" fontId="27" fillId="0" borderId="0" xfId="0" applyFont="1" applyBorder="1"/>
    <xf numFmtId="43" fontId="27" fillId="2" borderId="0" xfId="1" applyFont="1" applyFill="1" applyBorder="1"/>
    <xf numFmtId="0" fontId="6" fillId="2" borderId="6" xfId="0" applyFont="1" applyFill="1" applyBorder="1"/>
    <xf numFmtId="43" fontId="27" fillId="2" borderId="6" xfId="0" applyNumberFormat="1" applyFont="1" applyFill="1" applyBorder="1"/>
    <xf numFmtId="0" fontId="27" fillId="0" borderId="0" xfId="0" applyFont="1" applyFill="1"/>
    <xf numFmtId="0" fontId="31" fillId="0" borderId="0" xfId="0" applyFont="1" applyAlignment="1"/>
    <xf numFmtId="0" fontId="27" fillId="0" borderId="0" xfId="0" applyFont="1" applyBorder="1" applyAlignment="1">
      <alignment horizontal="center"/>
    </xf>
    <xf numFmtId="0" fontId="28" fillId="0" borderId="0" xfId="0" applyFont="1" applyBorder="1" applyAlignment="1">
      <alignment horizontal="center"/>
    </xf>
    <xf numFmtId="0" fontId="28" fillId="0" borderId="0" xfId="0" applyFont="1" applyFill="1" applyBorder="1" applyAlignment="1">
      <alignment horizontal="center"/>
    </xf>
    <xf numFmtId="0" fontId="27" fillId="0" borderId="7" xfId="0" applyFont="1" applyFill="1" applyBorder="1"/>
    <xf numFmtId="168" fontId="28" fillId="0" borderId="7" xfId="1" applyNumberFormat="1" applyFont="1" applyFill="1" applyBorder="1"/>
    <xf numFmtId="0" fontId="34" fillId="0" borderId="0" xfId="0" applyFont="1" applyBorder="1"/>
    <xf numFmtId="0" fontId="28" fillId="0" borderId="0" xfId="0" applyFont="1" applyBorder="1" applyAlignment="1">
      <alignment horizontal="left"/>
    </xf>
    <xf numFmtId="168" fontId="27" fillId="0" borderId="0" xfId="1" applyNumberFormat="1" applyFont="1" applyBorder="1"/>
    <xf numFmtId="0" fontId="6" fillId="0" borderId="0" xfId="0" applyFont="1" applyFill="1" applyBorder="1" applyAlignment="1">
      <alignment horizontal="center" vertical="center"/>
    </xf>
    <xf numFmtId="0" fontId="27" fillId="0" borderId="0" xfId="0" applyFont="1" applyFill="1" applyBorder="1" applyAlignment="1">
      <alignment horizontal="right"/>
    </xf>
    <xf numFmtId="10" fontId="27" fillId="0" borderId="0" xfId="2" applyNumberFormat="1" applyFont="1" applyBorder="1"/>
    <xf numFmtId="0" fontId="12" fillId="0" borderId="6" xfId="0" applyFont="1" applyFill="1" applyBorder="1"/>
    <xf numFmtId="0" fontId="27" fillId="0" borderId="6" xfId="0" applyFont="1" applyBorder="1"/>
    <xf numFmtId="169" fontId="27" fillId="0" borderId="0" xfId="2" applyNumberFormat="1" applyFont="1" applyBorder="1"/>
    <xf numFmtId="0" fontId="28" fillId="0" borderId="0" xfId="0" applyFont="1" applyBorder="1" applyAlignment="1">
      <alignment horizontal="center" vertical="center"/>
    </xf>
    <xf numFmtId="169" fontId="6" fillId="0" borderId="0" xfId="0" applyNumberFormat="1" applyFont="1" applyBorder="1"/>
    <xf numFmtId="10" fontId="6" fillId="0" borderId="0" xfId="0" applyNumberFormat="1" applyFont="1" applyBorder="1"/>
    <xf numFmtId="0" fontId="6" fillId="0" borderId="6" xfId="0" applyFont="1" applyFill="1" applyBorder="1"/>
    <xf numFmtId="10" fontId="6" fillId="0" borderId="6" xfId="0" applyNumberFormat="1" applyFont="1" applyBorder="1"/>
    <xf numFmtId="10" fontId="28" fillId="9" borderId="0" xfId="2" applyNumberFormat="1" applyFont="1" applyFill="1" applyBorder="1"/>
    <xf numFmtId="0" fontId="28" fillId="0" borderId="6" xfId="0" applyFont="1" applyBorder="1"/>
    <xf numFmtId="169" fontId="6" fillId="0" borderId="0" xfId="2" applyNumberFormat="1" applyFont="1" applyBorder="1"/>
    <xf numFmtId="169" fontId="6" fillId="0" borderId="6" xfId="0" applyNumberFormat="1" applyFont="1" applyBorder="1"/>
    <xf numFmtId="10" fontId="12" fillId="9" borderId="0" xfId="2" applyNumberFormat="1" applyFont="1" applyFill="1" applyBorder="1"/>
    <xf numFmtId="0" fontId="32" fillId="0" borderId="0" xfId="0" applyFont="1"/>
    <xf numFmtId="0" fontId="36" fillId="0" borderId="0" xfId="0" applyFont="1" applyBorder="1"/>
    <xf numFmtId="0" fontId="31" fillId="0" borderId="0" xfId="0" applyFont="1" applyBorder="1"/>
    <xf numFmtId="0" fontId="20" fillId="0" borderId="0" xfId="0" applyFont="1" applyBorder="1"/>
    <xf numFmtId="0" fontId="21" fillId="0" borderId="0" xfId="0" applyFont="1" applyBorder="1"/>
    <xf numFmtId="0" fontId="23" fillId="2" borderId="0" xfId="0" applyFont="1" applyFill="1"/>
    <xf numFmtId="0" fontId="31" fillId="2" borderId="60" xfId="0" applyFont="1" applyFill="1" applyBorder="1"/>
    <xf numFmtId="0" fontId="32" fillId="2" borderId="60" xfId="0" applyFont="1" applyFill="1" applyBorder="1"/>
    <xf numFmtId="0" fontId="30" fillId="2" borderId="0" xfId="0" applyFont="1" applyFill="1"/>
    <xf numFmtId="14" fontId="32" fillId="2" borderId="0" xfId="0" applyNumberFormat="1" applyFont="1" applyFill="1"/>
    <xf numFmtId="0" fontId="37" fillId="2" borderId="0" xfId="5" applyFont="1" applyFill="1"/>
    <xf numFmtId="9" fontId="32" fillId="2" borderId="0" xfId="2" applyFont="1" applyFill="1"/>
    <xf numFmtId="3" fontId="32" fillId="2" borderId="0" xfId="0" applyNumberFormat="1" applyFont="1" applyFill="1"/>
    <xf numFmtId="189" fontId="32" fillId="2" borderId="0" xfId="1" applyNumberFormat="1" applyFont="1" applyFill="1" applyAlignment="1">
      <alignment wrapText="1"/>
    </xf>
    <xf numFmtId="164" fontId="32" fillId="2" borderId="0" xfId="1" applyNumberFormat="1" applyFont="1" applyFill="1" applyAlignment="1">
      <alignment wrapText="1"/>
    </xf>
    <xf numFmtId="43" fontId="32" fillId="2" borderId="27" xfId="1" applyFont="1" applyFill="1" applyBorder="1"/>
    <xf numFmtId="43" fontId="32" fillId="2" borderId="6" xfId="1" applyFont="1" applyFill="1" applyBorder="1"/>
    <xf numFmtId="188" fontId="32" fillId="2" borderId="6" xfId="1" applyNumberFormat="1" applyFont="1" applyFill="1" applyBorder="1"/>
    <xf numFmtId="43" fontId="32" fillId="2" borderId="25" xfId="1" applyFont="1" applyFill="1" applyBorder="1"/>
    <xf numFmtId="0" fontId="32" fillId="2" borderId="30" xfId="0" applyFont="1" applyFill="1" applyBorder="1"/>
    <xf numFmtId="9" fontId="32" fillId="2" borderId="0" xfId="2" applyFont="1" applyFill="1" applyBorder="1"/>
    <xf numFmtId="9" fontId="32" fillId="2" borderId="39" xfId="2" applyFont="1" applyFill="1" applyBorder="1"/>
    <xf numFmtId="43" fontId="32" fillId="2" borderId="0" xfId="1" applyFont="1" applyFill="1" applyBorder="1"/>
    <xf numFmtId="43" fontId="32" fillId="2" borderId="39" xfId="1" applyFont="1" applyFill="1" applyBorder="1"/>
    <xf numFmtId="0" fontId="32" fillId="2" borderId="27" xfId="0" applyFont="1" applyFill="1" applyBorder="1"/>
    <xf numFmtId="168" fontId="32" fillId="2" borderId="6" xfId="1" applyNumberFormat="1" applyFont="1" applyFill="1" applyBorder="1"/>
    <xf numFmtId="168" fontId="32" fillId="2" borderId="25" xfId="1" applyNumberFormat="1" applyFont="1" applyFill="1" applyBorder="1"/>
    <xf numFmtId="0" fontId="27" fillId="2" borderId="8" xfId="0" applyFont="1" applyFill="1" applyBorder="1" applyAlignment="1">
      <alignment horizontal="center"/>
    </xf>
    <xf numFmtId="0" fontId="27" fillId="2" borderId="9" xfId="0" applyFont="1" applyFill="1" applyBorder="1" applyAlignment="1">
      <alignment horizontal="center"/>
    </xf>
    <xf numFmtId="0" fontId="27" fillId="2" borderId="9" xfId="0" applyFont="1" applyFill="1" applyBorder="1" applyAlignment="1"/>
    <xf numFmtId="0" fontId="27" fillId="2" borderId="10" xfId="0" applyFont="1" applyFill="1" applyBorder="1" applyAlignment="1">
      <alignment horizontal="center"/>
    </xf>
    <xf numFmtId="0" fontId="27" fillId="2" borderId="30" xfId="0" applyFont="1" applyFill="1" applyBorder="1"/>
    <xf numFmtId="0" fontId="32" fillId="2" borderId="0" xfId="0" applyFont="1" applyFill="1" applyBorder="1" applyAlignment="1">
      <alignment horizontal="center"/>
    </xf>
    <xf numFmtId="168" fontId="38" fillId="2" borderId="0" xfId="1" applyNumberFormat="1" applyFont="1" applyFill="1" applyBorder="1"/>
    <xf numFmtId="14" fontId="27" fillId="2" borderId="0" xfId="0" applyNumberFormat="1" applyFont="1" applyFill="1" applyBorder="1"/>
    <xf numFmtId="10" fontId="32" fillId="2" borderId="39" xfId="2" applyNumberFormat="1" applyFont="1" applyFill="1" applyBorder="1"/>
    <xf numFmtId="0" fontId="27" fillId="2" borderId="27" xfId="0" applyFont="1" applyFill="1" applyBorder="1"/>
    <xf numFmtId="0" fontId="32" fillId="2" borderId="6" xfId="0" applyFont="1" applyFill="1" applyBorder="1" applyAlignment="1">
      <alignment horizontal="center"/>
    </xf>
    <xf numFmtId="168" fontId="38" fillId="2" borderId="6" xfId="1" applyNumberFormat="1" applyFont="1" applyFill="1" applyBorder="1"/>
    <xf numFmtId="14" fontId="27" fillId="2" borderId="6" xfId="0" applyNumberFormat="1" applyFont="1" applyFill="1" applyBorder="1"/>
    <xf numFmtId="10" fontId="32" fillId="2" borderId="25" xfId="2" applyNumberFormat="1" applyFont="1" applyFill="1" applyBorder="1"/>
    <xf numFmtId="0" fontId="30" fillId="2" borderId="0" xfId="0" applyFont="1" applyFill="1" applyAlignment="1">
      <alignment horizontal="right"/>
    </xf>
    <xf numFmtId="10" fontId="30" fillId="2" borderId="0" xfId="0" applyNumberFormat="1" applyFont="1" applyFill="1" applyAlignment="1">
      <alignment horizontal="left"/>
    </xf>
    <xf numFmtId="177" fontId="30" fillId="2" borderId="0" xfId="0" applyNumberFormat="1" applyFont="1" applyFill="1"/>
    <xf numFmtId="0" fontId="28" fillId="0" borderId="0" xfId="0" applyFont="1"/>
    <xf numFmtId="0" fontId="31" fillId="0" borderId="0" xfId="0" applyFont="1"/>
    <xf numFmtId="0" fontId="31" fillId="2" borderId="0" xfId="0" applyFont="1" applyFill="1" applyBorder="1"/>
    <xf numFmtId="179" fontId="28" fillId="0" borderId="0" xfId="1" applyNumberFormat="1" applyFont="1" applyAlignment="1">
      <alignment horizontal="center"/>
    </xf>
    <xf numFmtId="0" fontId="28" fillId="15" borderId="8" xfId="0" applyFont="1" applyFill="1" applyBorder="1"/>
    <xf numFmtId="0" fontId="28" fillId="15" borderId="8" xfId="0" applyFont="1" applyFill="1" applyBorder="1" applyAlignment="1">
      <alignment horizontal="center"/>
    </xf>
    <xf numFmtId="0" fontId="28" fillId="15" borderId="9" xfId="0" applyFont="1" applyFill="1" applyBorder="1" applyAlignment="1">
      <alignment horizontal="center"/>
    </xf>
    <xf numFmtId="0" fontId="28" fillId="15" borderId="10" xfId="0" applyFont="1" applyFill="1" applyBorder="1" applyAlignment="1">
      <alignment horizontal="center"/>
    </xf>
    <xf numFmtId="0" fontId="28" fillId="2" borderId="0" xfId="0" applyFont="1" applyFill="1" applyBorder="1"/>
    <xf numFmtId="0" fontId="28" fillId="0" borderId="0" xfId="0" applyFont="1" applyAlignment="1">
      <alignment horizontal="center"/>
    </xf>
    <xf numFmtId="0" fontId="28" fillId="0" borderId="30" xfId="0" applyFont="1" applyBorder="1"/>
    <xf numFmtId="43" fontId="28" fillId="0" borderId="30" xfId="1" applyFont="1" applyBorder="1"/>
    <xf numFmtId="0" fontId="28" fillId="0" borderId="39" xfId="0" applyFont="1" applyBorder="1"/>
    <xf numFmtId="0" fontId="27" fillId="0" borderId="30" xfId="0" applyFont="1" applyBorder="1"/>
    <xf numFmtId="168" fontId="27" fillId="0" borderId="30" xfId="1" applyNumberFormat="1" applyFont="1" applyBorder="1"/>
    <xf numFmtId="168" fontId="27" fillId="0" borderId="39" xfId="1" applyNumberFormat="1" applyFont="1" applyBorder="1"/>
    <xf numFmtId="176" fontId="27" fillId="0" borderId="30" xfId="1" applyNumberFormat="1" applyFont="1" applyBorder="1"/>
    <xf numFmtId="176" fontId="27" fillId="0" borderId="0" xfId="1" applyNumberFormat="1" applyFont="1" applyBorder="1"/>
    <xf numFmtId="176" fontId="27" fillId="0" borderId="39" xfId="1" applyNumberFormat="1" applyFont="1" applyBorder="1"/>
    <xf numFmtId="43" fontId="27" fillId="0" borderId="30" xfId="1" applyFont="1" applyBorder="1"/>
    <xf numFmtId="168" fontId="28" fillId="0" borderId="30" xfId="1" applyNumberFormat="1" applyFont="1" applyBorder="1"/>
    <xf numFmtId="168" fontId="28" fillId="0" borderId="0" xfId="1" applyNumberFormat="1" applyFont="1" applyBorder="1"/>
    <xf numFmtId="168" fontId="28" fillId="0" borderId="39" xfId="1" applyNumberFormat="1" applyFont="1" applyBorder="1"/>
    <xf numFmtId="176" fontId="28" fillId="0" borderId="30" xfId="1" applyNumberFormat="1" applyFont="1" applyBorder="1"/>
    <xf numFmtId="176" fontId="28" fillId="0" borderId="0" xfId="1" applyNumberFormat="1" applyFont="1" applyBorder="1"/>
    <xf numFmtId="176" fontId="28" fillId="0" borderId="39" xfId="1" applyNumberFormat="1" applyFont="1" applyBorder="1"/>
    <xf numFmtId="176" fontId="27" fillId="0" borderId="30" xfId="0" applyNumberFormat="1" applyFont="1" applyBorder="1"/>
    <xf numFmtId="176" fontId="28" fillId="0" borderId="30" xfId="0" applyNumberFormat="1" applyFont="1" applyBorder="1"/>
    <xf numFmtId="0" fontId="28" fillId="0" borderId="8" xfId="0" applyFont="1" applyBorder="1"/>
    <xf numFmtId="168" fontId="28" fillId="0" borderId="8" xfId="1" applyNumberFormat="1" applyFont="1" applyBorder="1"/>
    <xf numFmtId="168" fontId="28" fillId="0" borderId="9" xfId="1" applyNumberFormat="1" applyFont="1" applyBorder="1"/>
    <xf numFmtId="168" fontId="28" fillId="0" borderId="10" xfId="1" applyNumberFormat="1" applyFont="1" applyBorder="1"/>
    <xf numFmtId="176" fontId="28" fillId="0" borderId="8" xfId="1" applyNumberFormat="1" applyFont="1" applyBorder="1"/>
    <xf numFmtId="176" fontId="28" fillId="0" borderId="9" xfId="1" applyNumberFormat="1" applyFont="1" applyBorder="1"/>
    <xf numFmtId="176" fontId="28" fillId="0" borderId="10" xfId="1" applyNumberFormat="1" applyFont="1" applyBorder="1"/>
    <xf numFmtId="168" fontId="27" fillId="0" borderId="0" xfId="1" applyNumberFormat="1" applyFont="1"/>
    <xf numFmtId="0" fontId="28" fillId="0" borderId="8" xfId="0" applyFont="1" applyBorder="1" applyAlignment="1"/>
    <xf numFmtId="0" fontId="28" fillId="0" borderId="9" xfId="0" applyFont="1" applyBorder="1" applyAlignment="1"/>
    <xf numFmtId="0" fontId="28" fillId="0" borderId="10" xfId="0" applyFont="1" applyBorder="1" applyAlignment="1"/>
    <xf numFmtId="49" fontId="28" fillId="15" borderId="8" xfId="0" applyNumberFormat="1" applyFont="1" applyFill="1" applyBorder="1" applyAlignment="1">
      <alignment horizontal="center"/>
    </xf>
    <xf numFmtId="0" fontId="28" fillId="15" borderId="9" xfId="1" applyNumberFormat="1" applyFont="1" applyFill="1" applyBorder="1" applyAlignment="1">
      <alignment horizontal="center"/>
    </xf>
    <xf numFmtId="0" fontId="28" fillId="15" borderId="10" xfId="1" applyNumberFormat="1" applyFont="1" applyFill="1" applyBorder="1" applyAlignment="1">
      <alignment horizontal="center"/>
    </xf>
    <xf numFmtId="49" fontId="28" fillId="2" borderId="0" xfId="0" applyNumberFormat="1" applyFont="1" applyFill="1" applyBorder="1" applyAlignment="1">
      <alignment horizontal="center"/>
    </xf>
    <xf numFmtId="0" fontId="28" fillId="15" borderId="8" xfId="1" applyNumberFormat="1" applyFont="1" applyFill="1" applyBorder="1" applyAlignment="1">
      <alignment horizontal="center"/>
    </xf>
    <xf numFmtId="0" fontId="28" fillId="0" borderId="23" xfId="0" applyFont="1" applyBorder="1" applyAlignment="1">
      <alignment horizontal="center"/>
    </xf>
    <xf numFmtId="0" fontId="28" fillId="0" borderId="24" xfId="0" applyFont="1" applyBorder="1" applyAlignment="1">
      <alignment horizontal="center"/>
    </xf>
    <xf numFmtId="0" fontId="28" fillId="0" borderId="28" xfId="0" applyFont="1" applyBorder="1" applyAlignment="1">
      <alignment horizontal="center"/>
    </xf>
    <xf numFmtId="0" fontId="28" fillId="0" borderId="27" xfId="0" applyFont="1" applyBorder="1" applyAlignment="1">
      <alignment horizontal="center"/>
    </xf>
    <xf numFmtId="0" fontId="28" fillId="0" borderId="6" xfId="0" applyFont="1" applyBorder="1" applyAlignment="1">
      <alignment horizontal="center"/>
    </xf>
    <xf numFmtId="0" fontId="28" fillId="0" borderId="25" xfId="0" applyFont="1" applyBorder="1" applyAlignment="1">
      <alignment horizontal="center"/>
    </xf>
    <xf numFmtId="0" fontId="28" fillId="0" borderId="30" xfId="0" applyFont="1" applyBorder="1" applyAlignment="1">
      <alignment horizontal="center"/>
    </xf>
    <xf numFmtId="0" fontId="28" fillId="0" borderId="39" xfId="0" applyFont="1" applyBorder="1" applyAlignment="1">
      <alignment horizontal="center"/>
    </xf>
    <xf numFmtId="0" fontId="27" fillId="0" borderId="39" xfId="0" applyFont="1" applyBorder="1"/>
    <xf numFmtId="168" fontId="27" fillId="6" borderId="0" xfId="1" applyNumberFormat="1" applyFont="1" applyFill="1" applyBorder="1"/>
    <xf numFmtId="168" fontId="27" fillId="6" borderId="39" xfId="1" applyNumberFormat="1" applyFont="1" applyFill="1" applyBorder="1"/>
    <xf numFmtId="168" fontId="27" fillId="6" borderId="30" xfId="1" applyNumberFormat="1" applyFont="1" applyFill="1" applyBorder="1"/>
    <xf numFmtId="169" fontId="27" fillId="0" borderId="30" xfId="2" applyNumberFormat="1" applyFont="1" applyBorder="1"/>
    <xf numFmtId="169" fontId="27" fillId="0" borderId="39" xfId="0" applyNumberFormat="1" applyFont="1" applyBorder="1"/>
    <xf numFmtId="169" fontId="27" fillId="0" borderId="39" xfId="2" applyNumberFormat="1" applyFont="1" applyBorder="1"/>
    <xf numFmtId="0" fontId="30" fillId="0" borderId="30" xfId="0" applyFont="1" applyBorder="1"/>
    <xf numFmtId="0" fontId="30" fillId="2" borderId="0" xfId="0" applyFont="1" applyFill="1" applyBorder="1"/>
    <xf numFmtId="0" fontId="30" fillId="0" borderId="27" xfId="0" applyFont="1" applyBorder="1"/>
    <xf numFmtId="169" fontId="27" fillId="0" borderId="6" xfId="2" applyNumberFormat="1" applyFont="1" applyBorder="1"/>
    <xf numFmtId="169" fontId="27" fillId="0" borderId="25" xfId="2" applyNumberFormat="1" applyFont="1" applyBorder="1"/>
    <xf numFmtId="169" fontId="27" fillId="0" borderId="27" xfId="2" applyNumberFormat="1" applyFont="1" applyBorder="1"/>
    <xf numFmtId="169" fontId="27" fillId="0" borderId="25" xfId="0" applyNumberFormat="1" applyFont="1" applyBorder="1"/>
    <xf numFmtId="169" fontId="28" fillId="0" borderId="30" xfId="0" applyNumberFormat="1" applyFont="1" applyBorder="1"/>
    <xf numFmtId="169" fontId="27" fillId="0" borderId="0" xfId="0" applyNumberFormat="1" applyFont="1" applyBorder="1"/>
    <xf numFmtId="169" fontId="27" fillId="0" borderId="0" xfId="0" applyNumberFormat="1" applyFont="1"/>
    <xf numFmtId="169" fontId="27" fillId="0" borderId="27" xfId="0" applyNumberFormat="1" applyFont="1" applyBorder="1"/>
    <xf numFmtId="169" fontId="27" fillId="0" borderId="6" xfId="0" applyNumberFormat="1" applyFont="1" applyBorder="1"/>
    <xf numFmtId="0" fontId="27" fillId="0" borderId="23" xfId="0" applyFont="1" applyBorder="1"/>
    <xf numFmtId="168" fontId="27" fillId="0" borderId="24" xfId="1" applyNumberFormat="1" applyFont="1" applyBorder="1"/>
    <xf numFmtId="168" fontId="27" fillId="0" borderId="28" xfId="1" applyNumberFormat="1" applyFont="1" applyBorder="1"/>
    <xf numFmtId="169" fontId="27" fillId="0" borderId="30" xfId="0" applyNumberFormat="1" applyFont="1" applyBorder="1"/>
    <xf numFmtId="168" fontId="6" fillId="6" borderId="0" xfId="1" applyNumberFormat="1" applyFont="1" applyFill="1" applyBorder="1"/>
    <xf numFmtId="0" fontId="28" fillId="0" borderId="27" xfId="0" applyFont="1" applyBorder="1"/>
    <xf numFmtId="168" fontId="28" fillId="0" borderId="6" xfId="0" applyNumberFormat="1" applyFont="1" applyFill="1" applyBorder="1"/>
    <xf numFmtId="168" fontId="28" fillId="0" borderId="25" xfId="0" applyNumberFormat="1" applyFont="1" applyFill="1" applyBorder="1"/>
    <xf numFmtId="168" fontId="28" fillId="0" borderId="27" xfId="0" applyNumberFormat="1" applyFont="1" applyFill="1" applyBorder="1"/>
    <xf numFmtId="0" fontId="28" fillId="0" borderId="24" xfId="0" applyFont="1" applyBorder="1"/>
    <xf numFmtId="168" fontId="28" fillId="0" borderId="24" xfId="1" applyNumberFormat="1" applyFont="1" applyBorder="1"/>
    <xf numFmtId="168" fontId="28" fillId="0" borderId="23" xfId="1" applyNumberFormat="1" applyFont="1" applyBorder="1"/>
    <xf numFmtId="168" fontId="28" fillId="0" borderId="28" xfId="1" applyNumberFormat="1" applyFont="1" applyBorder="1"/>
    <xf numFmtId="3" fontId="27" fillId="0" borderId="30" xfId="0" applyNumberFormat="1" applyFont="1" applyBorder="1"/>
    <xf numFmtId="169" fontId="27" fillId="0" borderId="24" xfId="2" applyNumberFormat="1" applyFont="1" applyBorder="1"/>
    <xf numFmtId="169" fontId="27" fillId="0" borderId="28" xfId="2" applyNumberFormat="1" applyFont="1" applyBorder="1"/>
    <xf numFmtId="169" fontId="27" fillId="0" borderId="23" xfId="2" applyNumberFormat="1" applyFont="1" applyBorder="1"/>
    <xf numFmtId="168" fontId="28" fillId="6" borderId="0" xfId="1" applyNumberFormat="1" applyFont="1" applyFill="1" applyBorder="1"/>
    <xf numFmtId="168" fontId="28" fillId="6" borderId="39" xfId="1" applyNumberFormat="1" applyFont="1" applyFill="1" applyBorder="1"/>
    <xf numFmtId="168" fontId="27" fillId="0" borderId="30" xfId="1" applyNumberFormat="1" applyFont="1" applyFill="1" applyBorder="1"/>
    <xf numFmtId="168" fontId="27" fillId="0" borderId="0" xfId="1" applyNumberFormat="1" applyFont="1" applyFill="1" applyBorder="1"/>
    <xf numFmtId="168" fontId="27" fillId="0" borderId="39" xfId="1" applyNumberFormat="1" applyFont="1" applyFill="1" applyBorder="1"/>
    <xf numFmtId="168" fontId="28" fillId="6" borderId="6" xfId="1" applyNumberFormat="1" applyFont="1" applyFill="1" applyBorder="1"/>
    <xf numFmtId="168" fontId="28" fillId="6" borderId="25" xfId="1" applyNumberFormat="1" applyFont="1" applyFill="1" applyBorder="1"/>
    <xf numFmtId="168" fontId="27" fillId="6" borderId="27" xfId="1" applyNumberFormat="1" applyFont="1" applyFill="1" applyBorder="1"/>
    <xf numFmtId="168" fontId="27" fillId="6" borderId="6" xfId="1" applyNumberFormat="1" applyFont="1" applyFill="1" applyBorder="1"/>
    <xf numFmtId="168" fontId="27" fillId="6" borderId="25" xfId="1" applyNumberFormat="1" applyFont="1" applyFill="1" applyBorder="1"/>
    <xf numFmtId="0" fontId="28" fillId="0" borderId="38" xfId="0" applyFont="1" applyBorder="1"/>
    <xf numFmtId="168" fontId="28" fillId="0" borderId="38" xfId="1" applyNumberFormat="1" applyFont="1" applyBorder="1"/>
    <xf numFmtId="168" fontId="28" fillId="6" borderId="0" xfId="1" applyNumberFormat="1" applyFont="1" applyFill="1"/>
    <xf numFmtId="0" fontId="28" fillId="0" borderId="14" xfId="0" applyFont="1" applyBorder="1"/>
    <xf numFmtId="168" fontId="28" fillId="0" borderId="14" xfId="1" applyNumberFormat="1" applyFont="1" applyBorder="1"/>
    <xf numFmtId="49" fontId="28" fillId="0" borderId="8" xfId="0" applyNumberFormat="1" applyFont="1" applyBorder="1" applyAlignment="1">
      <alignment horizontal="center"/>
    </xf>
    <xf numFmtId="0" fontId="28" fillId="0" borderId="9" xfId="1" applyNumberFormat="1" applyFont="1" applyBorder="1" applyAlignment="1">
      <alignment horizontal="center"/>
    </xf>
    <xf numFmtId="0" fontId="28" fillId="0" borderId="10" xfId="1" applyNumberFormat="1" applyFont="1" applyBorder="1" applyAlignment="1">
      <alignment horizontal="center"/>
    </xf>
    <xf numFmtId="9" fontId="27" fillId="0" borderId="24" xfId="2" applyFont="1" applyBorder="1"/>
    <xf numFmtId="0" fontId="28" fillId="6" borderId="6" xfId="0" applyFont="1" applyFill="1" applyBorder="1"/>
    <xf numFmtId="0" fontId="27" fillId="0" borderId="27" xfId="0" applyFont="1" applyBorder="1"/>
    <xf numFmtId="168" fontId="27" fillId="0" borderId="6" xfId="1" applyNumberFormat="1" applyFont="1" applyFill="1" applyBorder="1"/>
    <xf numFmtId="168" fontId="27" fillId="0" borderId="25" xfId="1" applyNumberFormat="1" applyFont="1" applyFill="1" applyBorder="1"/>
    <xf numFmtId="0" fontId="30" fillId="0" borderId="0" xfId="0" applyFont="1"/>
    <xf numFmtId="169" fontId="27" fillId="0" borderId="0" xfId="2" applyNumberFormat="1" applyFont="1"/>
    <xf numFmtId="43" fontId="27" fillId="0" borderId="0" xfId="1" applyNumberFormat="1" applyFont="1"/>
    <xf numFmtId="0" fontId="27" fillId="0" borderId="43" xfId="0" applyFont="1" applyBorder="1"/>
    <xf numFmtId="43" fontId="27" fillId="0" borderId="15" xfId="1" applyNumberFormat="1" applyFont="1" applyBorder="1"/>
    <xf numFmtId="43" fontId="27" fillId="0" borderId="44" xfId="1" applyNumberFormat="1" applyFont="1" applyBorder="1"/>
    <xf numFmtId="9" fontId="27" fillId="0" borderId="15" xfId="2" applyFont="1" applyBorder="1"/>
    <xf numFmtId="9" fontId="27" fillId="0" borderId="44" xfId="2" applyFont="1" applyBorder="1"/>
    <xf numFmtId="10" fontId="27" fillId="0" borderId="15" xfId="2" applyNumberFormat="1" applyFont="1" applyBorder="1"/>
    <xf numFmtId="10" fontId="27" fillId="0" borderId="44" xfId="2" applyNumberFormat="1" applyFont="1" applyBorder="1"/>
    <xf numFmtId="9" fontId="27" fillId="0" borderId="15" xfId="2" applyNumberFormat="1" applyFont="1" applyBorder="1"/>
    <xf numFmtId="9" fontId="27" fillId="0" borderId="44" xfId="2" applyNumberFormat="1" applyFont="1" applyBorder="1"/>
    <xf numFmtId="0" fontId="27" fillId="0" borderId="0" xfId="3" applyFont="1"/>
    <xf numFmtId="0" fontId="42" fillId="0" borderId="0" xfId="0" applyFont="1"/>
    <xf numFmtId="0" fontId="28" fillId="0" borderId="0" xfId="3" applyFont="1"/>
    <xf numFmtId="0" fontId="27" fillId="0" borderId="0" xfId="3" applyFont="1" applyAlignment="1">
      <alignment wrapText="1"/>
    </xf>
    <xf numFmtId="0" fontId="6" fillId="0" borderId="26" xfId="0" applyFont="1" applyBorder="1"/>
    <xf numFmtId="0" fontId="6" fillId="0" borderId="25" xfId="0" applyFont="1" applyBorder="1" applyAlignment="1">
      <alignment horizontal="center"/>
    </xf>
    <xf numFmtId="2" fontId="6" fillId="0" borderId="25" xfId="0" applyNumberFormat="1" applyFont="1" applyBorder="1" applyAlignment="1">
      <alignment horizontal="center"/>
    </xf>
    <xf numFmtId="10" fontId="6" fillId="0" borderId="25" xfId="0" applyNumberFormat="1" applyFont="1" applyBorder="1" applyAlignment="1">
      <alignment horizontal="center"/>
    </xf>
    <xf numFmtId="170" fontId="6" fillId="0" borderId="25" xfId="0" applyNumberFormat="1" applyFont="1" applyBorder="1" applyAlignment="1">
      <alignment horizontal="center"/>
    </xf>
    <xf numFmtId="0" fontId="12" fillId="0" borderId="26" xfId="0" applyFont="1" applyBorder="1"/>
    <xf numFmtId="0" fontId="12" fillId="0" borderId="25" xfId="0" applyFont="1" applyBorder="1" applyAlignment="1">
      <alignment horizontal="center"/>
    </xf>
    <xf numFmtId="2" fontId="12" fillId="0" borderId="25" xfId="0" applyNumberFormat="1" applyFont="1" applyBorder="1" applyAlignment="1">
      <alignment horizontal="center"/>
    </xf>
    <xf numFmtId="10" fontId="12" fillId="0" borderId="25" xfId="0" applyNumberFormat="1" applyFont="1" applyBorder="1" applyAlignment="1">
      <alignment horizontal="center"/>
    </xf>
    <xf numFmtId="170" fontId="12" fillId="0" borderId="25" xfId="0" applyNumberFormat="1" applyFont="1" applyBorder="1" applyAlignment="1">
      <alignment horizontal="center"/>
    </xf>
    <xf numFmtId="0" fontId="6" fillId="0" borderId="0" xfId="8" applyFont="1"/>
    <xf numFmtId="0" fontId="47" fillId="0" borderId="0" xfId="8" applyFont="1"/>
    <xf numFmtId="0" fontId="48" fillId="0" borderId="0" xfId="8" applyFont="1"/>
    <xf numFmtId="0" fontId="6" fillId="4" borderId="7" xfId="8" applyFont="1" applyFill="1" applyBorder="1" applyAlignment="1">
      <alignment horizontal="center"/>
    </xf>
    <xf numFmtId="0" fontId="43" fillId="0" borderId="23" xfId="8" applyFont="1" applyBorder="1"/>
    <xf numFmtId="0" fontId="6" fillId="0" borderId="24" xfId="8" applyFont="1" applyBorder="1"/>
    <xf numFmtId="0" fontId="6" fillId="0" borderId="28" xfId="8" applyFont="1" applyBorder="1"/>
    <xf numFmtId="0" fontId="43" fillId="0" borderId="27" xfId="8" applyFont="1" applyBorder="1"/>
    <xf numFmtId="0" fontId="6" fillId="0" borderId="6" xfId="8" applyFont="1" applyBorder="1"/>
    <xf numFmtId="0" fontId="6" fillId="0" borderId="25" xfId="8" applyFont="1" applyBorder="1"/>
    <xf numFmtId="0" fontId="6" fillId="0" borderId="0" xfId="8" applyFont="1" applyFill="1" applyBorder="1" applyAlignment="1">
      <alignment horizontal="center"/>
    </xf>
    <xf numFmtId="0" fontId="6" fillId="5" borderId="7" xfId="8" applyFont="1" applyFill="1" applyBorder="1" applyAlignment="1">
      <alignment horizontal="center"/>
    </xf>
    <xf numFmtId="10" fontId="6" fillId="5" borderId="37" xfId="8" applyNumberFormat="1" applyFont="1" applyFill="1" applyBorder="1" applyAlignment="1">
      <alignment horizontal="center"/>
    </xf>
    <xf numFmtId="0" fontId="12" fillId="0" borderId="1" xfId="8" applyFont="1" applyBorder="1" applyAlignment="1">
      <alignment horizontal="centerContinuous"/>
    </xf>
    <xf numFmtId="0" fontId="12" fillId="0" borderId="2" xfId="8" applyFont="1" applyBorder="1" applyAlignment="1">
      <alignment horizontal="centerContinuous"/>
    </xf>
    <xf numFmtId="0" fontId="12" fillId="0" borderId="3" xfId="8" applyFont="1" applyBorder="1" applyAlignment="1">
      <alignment horizontal="centerContinuous"/>
    </xf>
    <xf numFmtId="0" fontId="43" fillId="0" borderId="26" xfId="8" applyFont="1" applyBorder="1" applyAlignment="1">
      <alignment horizontal="center"/>
    </xf>
    <xf numFmtId="0" fontId="6" fillId="0" borderId="26" xfId="8" applyFont="1" applyBorder="1" applyAlignment="1">
      <alignment horizontal="center"/>
    </xf>
    <xf numFmtId="0" fontId="6" fillId="0" borderId="27" xfId="8" applyFont="1" applyBorder="1" applyAlignment="1">
      <alignment horizontal="center" wrapText="1"/>
    </xf>
    <xf numFmtId="0" fontId="6" fillId="0" borderId="7" xfId="8" applyFont="1" applyBorder="1" applyAlignment="1">
      <alignment horizontal="center"/>
    </xf>
    <xf numFmtId="10" fontId="6" fillId="0" borderId="7" xfId="8" applyNumberFormat="1" applyFont="1" applyBorder="1" applyAlignment="1">
      <alignment horizontal="center"/>
    </xf>
    <xf numFmtId="175" fontId="6" fillId="0" borderId="7" xfId="10" applyFont="1" applyBorder="1" applyAlignment="1">
      <alignment horizontal="center"/>
    </xf>
    <xf numFmtId="0" fontId="6" fillId="0" borderId="8" xfId="8" applyFont="1" applyBorder="1" applyAlignment="1">
      <alignment horizontal="center"/>
    </xf>
    <xf numFmtId="10" fontId="6" fillId="0" borderId="8" xfId="8" applyNumberFormat="1" applyFont="1" applyBorder="1" applyAlignment="1">
      <alignment horizontal="center"/>
    </xf>
    <xf numFmtId="0" fontId="6" fillId="0" borderId="0" xfId="8" applyFont="1" applyBorder="1" applyAlignment="1">
      <alignment horizontal="center"/>
    </xf>
    <xf numFmtId="10" fontId="6" fillId="0" borderId="0" xfId="8" applyNumberFormat="1" applyFont="1" applyBorder="1" applyAlignment="1">
      <alignment horizontal="center"/>
    </xf>
    <xf numFmtId="0" fontId="12" fillId="0" borderId="0" xfId="8" applyFont="1" applyAlignment="1">
      <alignment horizontal="left"/>
    </xf>
    <xf numFmtId="0" fontId="6" fillId="0" borderId="0" xfId="8" applyFont="1" applyAlignment="1">
      <alignment horizontal="center"/>
    </xf>
    <xf numFmtId="0" fontId="6" fillId="0" borderId="7" xfId="8" applyFont="1" applyBorder="1"/>
    <xf numFmtId="10" fontId="6" fillId="0" borderId="7" xfId="8" applyNumberFormat="1" applyFont="1" applyBorder="1"/>
    <xf numFmtId="0" fontId="49" fillId="0" borderId="0" xfId="8" applyFont="1"/>
    <xf numFmtId="0" fontId="12" fillId="0" borderId="0" xfId="8" applyFont="1"/>
    <xf numFmtId="10" fontId="6" fillId="0" borderId="7" xfId="11" applyNumberFormat="1" applyFont="1" applyBorder="1" applyAlignment="1">
      <alignment horizontal="center"/>
    </xf>
    <xf numFmtId="0" fontId="6" fillId="0" borderId="0" xfId="6" applyFont="1" applyFill="1"/>
    <xf numFmtId="0" fontId="12" fillId="0" borderId="0" xfId="6" applyFont="1" applyFill="1"/>
    <xf numFmtId="0" fontId="12" fillId="0" borderId="0" xfId="6" quotePrefix="1" applyFont="1" applyFill="1" applyAlignment="1">
      <alignment horizontal="right"/>
    </xf>
    <xf numFmtId="0" fontId="12" fillId="0" borderId="0" xfId="6" applyFont="1" applyFill="1" applyAlignment="1">
      <alignment horizontal="left" indent="1"/>
    </xf>
    <xf numFmtId="0" fontId="49" fillId="0" borderId="0" xfId="6" applyFont="1" applyFill="1"/>
    <xf numFmtId="0" fontId="49" fillId="0" borderId="0" xfId="6" applyFont="1" applyFill="1" applyAlignment="1">
      <alignment horizontal="left" indent="1"/>
    </xf>
    <xf numFmtId="0" fontId="6" fillId="0" borderId="0" xfId="6" applyFont="1" applyFill="1" applyBorder="1"/>
    <xf numFmtId="0" fontId="6" fillId="0" borderId="31" xfId="6" applyFont="1" applyFill="1" applyBorder="1" applyAlignment="1">
      <alignment horizontal="center"/>
    </xf>
    <xf numFmtId="0" fontId="6" fillId="0" borderId="29" xfId="6" applyFont="1" applyFill="1" applyBorder="1"/>
    <xf numFmtId="0" fontId="6" fillId="0" borderId="26" xfId="6" applyFont="1" applyFill="1" applyBorder="1"/>
    <xf numFmtId="0" fontId="6" fillId="0" borderId="31" xfId="6" applyFont="1" applyFill="1" applyBorder="1"/>
    <xf numFmtId="1" fontId="6" fillId="0" borderId="31" xfId="6" applyNumberFormat="1" applyFont="1" applyFill="1" applyBorder="1" applyAlignment="1">
      <alignment horizontal="center"/>
    </xf>
    <xf numFmtId="171" fontId="6" fillId="0" borderId="31" xfId="6" applyNumberFormat="1" applyFont="1" applyFill="1" applyBorder="1" applyAlignment="1">
      <alignment horizontal="center"/>
    </xf>
    <xf numFmtId="0" fontId="43" fillId="0" borderId="31" xfId="6" applyFont="1" applyFill="1" applyBorder="1"/>
    <xf numFmtId="0" fontId="50" fillId="0" borderId="31" xfId="6" applyFont="1" applyFill="1" applyBorder="1" applyAlignment="1">
      <alignment horizontal="center"/>
    </xf>
    <xf numFmtId="0" fontId="51" fillId="0" borderId="31" xfId="6" applyFont="1" applyFill="1" applyBorder="1" applyAlignment="1">
      <alignment horizontal="center"/>
    </xf>
    <xf numFmtId="16" fontId="6" fillId="0" borderId="31" xfId="6" applyNumberFormat="1" applyFont="1" applyFill="1" applyBorder="1" applyAlignment="1">
      <alignment horizontal="center"/>
    </xf>
    <xf numFmtId="16" fontId="43" fillId="0" borderId="31" xfId="6" applyNumberFormat="1" applyFont="1" applyFill="1" applyBorder="1" applyAlignment="1">
      <alignment horizontal="center"/>
    </xf>
    <xf numFmtId="0" fontId="43" fillId="0" borderId="31" xfId="6" applyFont="1" applyFill="1" applyBorder="1" applyAlignment="1">
      <alignment horizontal="center"/>
    </xf>
    <xf numFmtId="171" fontId="6" fillId="0" borderId="0" xfId="6" applyNumberFormat="1" applyFont="1" applyFill="1" applyAlignment="1">
      <alignment horizontal="center"/>
    </xf>
    <xf numFmtId="0" fontId="6" fillId="0" borderId="0" xfId="6" applyFont="1" applyFill="1" applyAlignment="1">
      <alignment horizontal="center"/>
    </xf>
    <xf numFmtId="172" fontId="6" fillId="0" borderId="31" xfId="6" applyNumberFormat="1" applyFont="1" applyFill="1" applyBorder="1" applyAlignment="1">
      <alignment horizontal="center"/>
    </xf>
    <xf numFmtId="171" fontId="6" fillId="0" borderId="30" xfId="6" applyNumberFormat="1" applyFont="1" applyFill="1" applyBorder="1" applyAlignment="1">
      <alignment horizontal="center"/>
    </xf>
    <xf numFmtId="172" fontId="6" fillId="0" borderId="0" xfId="6" applyNumberFormat="1" applyFont="1" applyFill="1"/>
    <xf numFmtId="173" fontId="6" fillId="0" borderId="0" xfId="6" applyNumberFormat="1" applyFont="1" applyFill="1"/>
    <xf numFmtId="0" fontId="6" fillId="0" borderId="30" xfId="6" applyFont="1" applyFill="1" applyBorder="1"/>
    <xf numFmtId="0" fontId="52" fillId="0" borderId="31" xfId="6" applyFont="1" applyFill="1" applyBorder="1" applyAlignment="1">
      <alignment horizontal="center"/>
    </xf>
    <xf numFmtId="0" fontId="53" fillId="0" borderId="31" xfId="6" applyFont="1" applyFill="1" applyBorder="1" applyAlignment="1">
      <alignment horizontal="center"/>
    </xf>
    <xf numFmtId="1" fontId="6" fillId="0" borderId="0" xfId="6" applyNumberFormat="1" applyFont="1" applyFill="1" applyBorder="1" applyAlignment="1">
      <alignment horizontal="center"/>
    </xf>
    <xf numFmtId="1" fontId="12" fillId="0" borderId="31" xfId="6" applyNumberFormat="1" applyFont="1" applyFill="1" applyBorder="1" applyAlignment="1">
      <alignment horizontal="center"/>
    </xf>
    <xf numFmtId="171" fontId="12" fillId="0" borderId="31" xfId="6" applyNumberFormat="1" applyFont="1" applyFill="1" applyBorder="1" applyAlignment="1">
      <alignment horizontal="center"/>
    </xf>
    <xf numFmtId="171" fontId="6" fillId="0" borderId="0" xfId="6" applyNumberFormat="1" applyFont="1" applyFill="1" applyBorder="1" applyAlignment="1">
      <alignment horizontal="center"/>
    </xf>
    <xf numFmtId="1" fontId="52" fillId="0" borderId="31" xfId="6" applyNumberFormat="1" applyFont="1" applyFill="1" applyBorder="1" applyAlignment="1">
      <alignment horizontal="center"/>
    </xf>
    <xf numFmtId="0" fontId="50" fillId="0" borderId="0" xfId="6" applyFont="1" applyFill="1"/>
    <xf numFmtId="1" fontId="50" fillId="0" borderId="31" xfId="6" applyNumberFormat="1" applyFont="1" applyFill="1" applyBorder="1" applyAlignment="1">
      <alignment horizontal="center"/>
    </xf>
    <xf numFmtId="171" fontId="52" fillId="0" borderId="31" xfId="6" applyNumberFormat="1" applyFont="1" applyFill="1" applyBorder="1" applyAlignment="1">
      <alignment horizontal="center"/>
    </xf>
    <xf numFmtId="0" fontId="52" fillId="0" borderId="31" xfId="6" applyNumberFormat="1" applyFont="1" applyFill="1" applyBorder="1" applyAlignment="1">
      <alignment horizontal="center"/>
    </xf>
    <xf numFmtId="0" fontId="6" fillId="0" borderId="31" xfId="6" applyNumberFormat="1" applyFont="1" applyFill="1" applyBorder="1" applyAlignment="1">
      <alignment horizontal="center"/>
    </xf>
    <xf numFmtId="171" fontId="12" fillId="31" borderId="0" xfId="6" applyNumberFormat="1" applyFont="1" applyFill="1" applyAlignment="1">
      <alignment horizontal="center"/>
    </xf>
    <xf numFmtId="0" fontId="43" fillId="0" borderId="32" xfId="6" applyFont="1" applyFill="1" applyBorder="1" applyAlignment="1">
      <alignment horizontal="center"/>
    </xf>
    <xf numFmtId="0" fontId="6" fillId="0" borderId="26" xfId="6" applyFont="1" applyFill="1" applyBorder="1" applyAlignment="1">
      <alignment horizontal="center"/>
    </xf>
    <xf numFmtId="171" fontId="6" fillId="0" borderId="26" xfId="6" applyNumberFormat="1" applyFont="1" applyFill="1" applyBorder="1" applyAlignment="1">
      <alignment horizontal="center"/>
    </xf>
    <xf numFmtId="0" fontId="43" fillId="0" borderId="33" xfId="6" applyFont="1" applyFill="1" applyBorder="1" applyAlignment="1">
      <alignment horizontal="center"/>
    </xf>
    <xf numFmtId="1" fontId="6" fillId="0" borderId="0" xfId="6" applyNumberFormat="1" applyFont="1" applyFill="1" applyBorder="1"/>
    <xf numFmtId="0" fontId="6" fillId="0" borderId="0" xfId="6" applyFont="1" applyFill="1" applyBorder="1" applyAlignment="1">
      <alignment horizontal="left"/>
    </xf>
    <xf numFmtId="0" fontId="38" fillId="0" borderId="0" xfId="0" applyFont="1"/>
    <xf numFmtId="9" fontId="32" fillId="0" borderId="0" xfId="2" applyFont="1"/>
    <xf numFmtId="168" fontId="32" fillId="0" borderId="0" xfId="0" applyNumberFormat="1" applyFont="1"/>
    <xf numFmtId="180" fontId="32" fillId="0" borderId="0" xfId="0" applyNumberFormat="1" applyFont="1"/>
    <xf numFmtId="0" fontId="20" fillId="0" borderId="0" xfId="0" applyFont="1"/>
    <xf numFmtId="0" fontId="32" fillId="0" borderId="23" xfId="0" applyFont="1" applyBorder="1"/>
    <xf numFmtId="0" fontId="32" fillId="0" borderId="28" xfId="0" applyFont="1" applyBorder="1"/>
    <xf numFmtId="0" fontId="32" fillId="0" borderId="30" xfId="0" applyFont="1" applyBorder="1"/>
    <xf numFmtId="0" fontId="32" fillId="0" borderId="39" xfId="0" applyFont="1" applyBorder="1"/>
    <xf numFmtId="0" fontId="38" fillId="0" borderId="28" xfId="0" applyFont="1" applyBorder="1"/>
    <xf numFmtId="0" fontId="38" fillId="0" borderId="29" xfId="0" applyFont="1" applyBorder="1"/>
    <xf numFmtId="0" fontId="30" fillId="9" borderId="8" xfId="0" applyFont="1" applyFill="1" applyBorder="1" applyAlignment="1">
      <alignment horizontal="center"/>
    </xf>
    <xf numFmtId="0" fontId="30" fillId="9" borderId="9" xfId="0" applyFont="1" applyFill="1" applyBorder="1" applyAlignment="1">
      <alignment horizontal="center"/>
    </xf>
    <xf numFmtId="0" fontId="30" fillId="8" borderId="8" xfId="0" applyFont="1" applyFill="1" applyBorder="1" applyAlignment="1">
      <alignment horizontal="center"/>
    </xf>
    <xf numFmtId="0" fontId="30" fillId="8" borderId="9" xfId="0" applyFont="1" applyFill="1" applyBorder="1" applyAlignment="1">
      <alignment horizontal="center"/>
    </xf>
    <xf numFmtId="0" fontId="30" fillId="8" borderId="10" xfId="0" applyFont="1" applyFill="1" applyBorder="1" applyAlignment="1">
      <alignment horizontal="center"/>
    </xf>
    <xf numFmtId="0" fontId="38" fillId="0" borderId="39" xfId="0" applyFont="1" applyBorder="1"/>
    <xf numFmtId="0" fontId="38" fillId="0" borderId="31" xfId="0" applyFont="1" applyBorder="1"/>
    <xf numFmtId="168" fontId="32" fillId="0" borderId="23" xfId="1" applyNumberFormat="1" applyFont="1" applyBorder="1"/>
    <xf numFmtId="168" fontId="32" fillId="0" borderId="24" xfId="1" applyNumberFormat="1" applyFont="1" applyBorder="1"/>
    <xf numFmtId="168" fontId="32" fillId="0" borderId="30" xfId="1" applyNumberFormat="1" applyFont="1" applyBorder="1"/>
    <xf numFmtId="168" fontId="32" fillId="0" borderId="0" xfId="1" applyNumberFormat="1" applyFont="1" applyBorder="1"/>
    <xf numFmtId="168" fontId="32" fillId="0" borderId="39" xfId="1" applyNumberFormat="1" applyFont="1" applyBorder="1"/>
    <xf numFmtId="187" fontId="32" fillId="0" borderId="30" xfId="1" applyNumberFormat="1" applyFont="1" applyBorder="1"/>
    <xf numFmtId="187" fontId="32" fillId="0" borderId="0" xfId="1" applyNumberFormat="1" applyFont="1" applyBorder="1"/>
    <xf numFmtId="187" fontId="32" fillId="0" borderId="39" xfId="1" applyNumberFormat="1" applyFont="1" applyBorder="1"/>
    <xf numFmtId="0" fontId="32" fillId="0" borderId="25" xfId="0" applyFont="1" applyBorder="1"/>
    <xf numFmtId="0" fontId="38" fillId="0" borderId="25" xfId="0" applyFont="1" applyBorder="1"/>
    <xf numFmtId="0" fontId="38" fillId="0" borderId="26" xfId="0" applyFont="1" applyBorder="1"/>
    <xf numFmtId="168" fontId="32" fillId="0" borderId="27" xfId="1" applyNumberFormat="1" applyFont="1" applyBorder="1"/>
    <xf numFmtId="168" fontId="32" fillId="0" borderId="6" xfId="1" applyNumberFormat="1" applyFont="1" applyBorder="1"/>
    <xf numFmtId="168" fontId="32" fillId="0" borderId="25" xfId="1" applyNumberFormat="1" applyFont="1" applyBorder="1"/>
    <xf numFmtId="0" fontId="30" fillId="0" borderId="8" xfId="0" applyFont="1" applyBorder="1"/>
    <xf numFmtId="0" fontId="32" fillId="0" borderId="9" xfId="0" applyFont="1" applyBorder="1"/>
    <xf numFmtId="0" fontId="38" fillId="0" borderId="9" xfId="0" applyFont="1" applyBorder="1"/>
    <xf numFmtId="9" fontId="32" fillId="0" borderId="9" xfId="2" applyFont="1" applyBorder="1"/>
    <xf numFmtId="9" fontId="54" fillId="0" borderId="8" xfId="2" applyFont="1" applyBorder="1"/>
    <xf numFmtId="9" fontId="32" fillId="0" borderId="10" xfId="2" applyFont="1" applyBorder="1"/>
    <xf numFmtId="43" fontId="30" fillId="13" borderId="39" xfId="1" applyFont="1" applyFill="1" applyBorder="1"/>
    <xf numFmtId="43" fontId="32" fillId="2" borderId="31" xfId="1" applyFont="1" applyFill="1" applyBorder="1"/>
    <xf numFmtId="0" fontId="32" fillId="2" borderId="29" xfId="0" applyFont="1" applyFill="1" applyBorder="1"/>
    <xf numFmtId="43" fontId="32" fillId="2" borderId="23" xfId="1" applyFont="1" applyFill="1" applyBorder="1"/>
    <xf numFmtId="43" fontId="32" fillId="2" borderId="29" xfId="1" applyFont="1" applyFill="1" applyBorder="1"/>
    <xf numFmtId="0" fontId="32" fillId="0" borderId="0" xfId="0" applyFont="1" applyBorder="1"/>
    <xf numFmtId="43" fontId="21" fillId="13" borderId="25" xfId="1" applyFont="1" applyFill="1" applyBorder="1"/>
    <xf numFmtId="43" fontId="20" fillId="2" borderId="25" xfId="1" applyFont="1" applyFill="1" applyBorder="1"/>
    <xf numFmtId="43" fontId="20" fillId="2" borderId="26" xfId="1" applyFont="1" applyFill="1" applyBorder="1"/>
    <xf numFmtId="43" fontId="20" fillId="2" borderId="27" xfId="1" applyFont="1" applyFill="1" applyBorder="1"/>
    <xf numFmtId="43" fontId="20" fillId="2" borderId="0" xfId="1" applyFont="1" applyFill="1" applyBorder="1"/>
    <xf numFmtId="43" fontId="21" fillId="13" borderId="39" xfId="0" applyNumberFormat="1" applyFont="1" applyFill="1" applyBorder="1"/>
    <xf numFmtId="43" fontId="20" fillId="12" borderId="39" xfId="0" applyNumberFormat="1" applyFont="1" applyFill="1" applyBorder="1"/>
    <xf numFmtId="43" fontId="20" fillId="12" borderId="31" xfId="0" applyNumberFormat="1" applyFont="1" applyFill="1" applyBorder="1"/>
    <xf numFmtId="0" fontId="20" fillId="12" borderId="31" xfId="0" applyFont="1" applyFill="1" applyBorder="1"/>
    <xf numFmtId="43" fontId="20" fillId="12" borderId="23" xfId="0" applyNumberFormat="1" applyFont="1" applyFill="1" applyBorder="1"/>
    <xf numFmtId="43" fontId="20" fillId="12" borderId="29" xfId="0" applyNumberFormat="1" applyFont="1" applyFill="1" applyBorder="1"/>
    <xf numFmtId="168" fontId="21" fillId="13" borderId="25" xfId="0" applyNumberFormat="1" applyFont="1" applyFill="1" applyBorder="1"/>
    <xf numFmtId="180" fontId="20" fillId="12" borderId="25" xfId="0" applyNumberFormat="1" applyFont="1" applyFill="1" applyBorder="1"/>
    <xf numFmtId="180" fontId="20" fillId="12" borderId="26" xfId="0" applyNumberFormat="1" applyFont="1" applyFill="1" applyBorder="1"/>
    <xf numFmtId="180" fontId="20" fillId="12" borderId="27" xfId="0" applyNumberFormat="1" applyFont="1" applyFill="1" applyBorder="1"/>
    <xf numFmtId="0" fontId="32" fillId="2" borderId="0" xfId="0" applyFont="1" applyFill="1" applyBorder="1"/>
    <xf numFmtId="43" fontId="21" fillId="13" borderId="39" xfId="1" applyFont="1" applyFill="1" applyBorder="1"/>
    <xf numFmtId="43" fontId="20" fillId="2" borderId="39" xfId="1" applyFont="1" applyFill="1" applyBorder="1"/>
    <xf numFmtId="43" fontId="20" fillId="2" borderId="31" xfId="1" applyFont="1" applyFill="1" applyBorder="1"/>
    <xf numFmtId="0" fontId="20" fillId="2" borderId="31" xfId="0" applyFont="1" applyFill="1" applyBorder="1"/>
    <xf numFmtId="0" fontId="20" fillId="2" borderId="30" xfId="0" applyFont="1" applyFill="1" applyBorder="1"/>
    <xf numFmtId="0" fontId="20" fillId="12" borderId="30" xfId="0" applyFont="1" applyFill="1" applyBorder="1"/>
    <xf numFmtId="0" fontId="20" fillId="2" borderId="0" xfId="0" applyFont="1" applyFill="1" applyBorder="1"/>
    <xf numFmtId="180" fontId="20" fillId="2" borderId="0" xfId="0" applyNumberFormat="1" applyFont="1" applyFill="1" applyBorder="1"/>
    <xf numFmtId="43" fontId="20" fillId="2" borderId="30" xfId="1" applyFont="1" applyFill="1" applyBorder="1"/>
    <xf numFmtId="43" fontId="20" fillId="12" borderId="30" xfId="0" applyNumberFormat="1" applyFont="1" applyFill="1" applyBorder="1"/>
    <xf numFmtId="168" fontId="21" fillId="13" borderId="25" xfId="1" applyNumberFormat="1" applyFont="1" applyFill="1" applyBorder="1"/>
    <xf numFmtId="168" fontId="20" fillId="12" borderId="27" xfId="0" applyNumberFormat="1" applyFont="1" applyFill="1" applyBorder="1"/>
    <xf numFmtId="167" fontId="32" fillId="0" borderId="0" xfId="0" applyNumberFormat="1" applyFont="1" applyBorder="1"/>
    <xf numFmtId="180" fontId="21" fillId="13" borderId="25" xfId="0" applyNumberFormat="1" applyFont="1" applyFill="1" applyBorder="1"/>
    <xf numFmtId="168" fontId="30" fillId="13" borderId="28" xfId="1" applyNumberFormat="1" applyFont="1" applyFill="1" applyBorder="1"/>
    <xf numFmtId="168" fontId="32" fillId="2" borderId="29" xfId="1" applyNumberFormat="1" applyFont="1" applyFill="1" applyBorder="1"/>
    <xf numFmtId="168" fontId="32" fillId="2" borderId="23" xfId="1" applyNumberFormat="1" applyFont="1" applyFill="1" applyBorder="1"/>
    <xf numFmtId="43" fontId="32" fillId="13" borderId="25" xfId="1" applyFont="1" applyFill="1" applyBorder="1"/>
    <xf numFmtId="43" fontId="32" fillId="2" borderId="26" xfId="1" applyFont="1" applyFill="1" applyBorder="1"/>
    <xf numFmtId="168" fontId="32" fillId="13" borderId="28" xfId="1" applyNumberFormat="1" applyFont="1" applyFill="1" applyBorder="1"/>
    <xf numFmtId="0" fontId="32" fillId="0" borderId="0" xfId="0" applyFont="1" applyBorder="1" applyAlignment="1">
      <alignment horizontal="center"/>
    </xf>
    <xf numFmtId="0" fontId="32" fillId="0" borderId="0" xfId="0" applyFont="1" applyFill="1" applyBorder="1"/>
    <xf numFmtId="0" fontId="30" fillId="13" borderId="10" xfId="0" applyFont="1" applyFill="1" applyBorder="1" applyAlignment="1">
      <alignment horizontal="center"/>
    </xf>
    <xf numFmtId="43" fontId="32" fillId="2" borderId="22" xfId="1" applyFont="1" applyFill="1" applyBorder="1"/>
    <xf numFmtId="43" fontId="32" fillId="13" borderId="28" xfId="1" applyFont="1" applyFill="1" applyBorder="1"/>
    <xf numFmtId="43" fontId="32" fillId="2" borderId="20" xfId="1" applyFont="1" applyFill="1" applyBorder="1"/>
    <xf numFmtId="43" fontId="32" fillId="12" borderId="48" xfId="0" applyNumberFormat="1" applyFont="1" applyFill="1" applyBorder="1"/>
    <xf numFmtId="43" fontId="32" fillId="12" borderId="29" xfId="0" applyNumberFormat="1" applyFont="1" applyFill="1" applyBorder="1"/>
    <xf numFmtId="43" fontId="32" fillId="13" borderId="28" xfId="0" applyNumberFormat="1" applyFont="1" applyFill="1" applyBorder="1"/>
    <xf numFmtId="180" fontId="32" fillId="12" borderId="20" xfId="0" applyNumberFormat="1" applyFont="1" applyFill="1" applyBorder="1"/>
    <xf numFmtId="180" fontId="32" fillId="12" borderId="26" xfId="0" applyNumberFormat="1" applyFont="1" applyFill="1" applyBorder="1"/>
    <xf numFmtId="168" fontId="32" fillId="13" borderId="25" xfId="0" applyNumberFormat="1" applyFont="1" applyFill="1" applyBorder="1"/>
    <xf numFmtId="0" fontId="32" fillId="2" borderId="22" xfId="0" applyFont="1" applyFill="1" applyBorder="1"/>
    <xf numFmtId="0" fontId="32" fillId="2" borderId="31" xfId="0" applyFont="1" applyFill="1" applyBorder="1"/>
    <xf numFmtId="168" fontId="32" fillId="13" borderId="39" xfId="0" applyNumberFormat="1" applyFont="1" applyFill="1" applyBorder="1"/>
    <xf numFmtId="168" fontId="32" fillId="13" borderId="25" xfId="1" applyNumberFormat="1" applyFont="1" applyFill="1" applyBorder="1"/>
    <xf numFmtId="0" fontId="32" fillId="12" borderId="22" xfId="0" applyFont="1" applyFill="1" applyBorder="1"/>
    <xf numFmtId="0" fontId="32" fillId="12" borderId="31" xfId="0" applyFont="1" applyFill="1" applyBorder="1"/>
    <xf numFmtId="168" fontId="32" fillId="13" borderId="39" xfId="1" applyNumberFormat="1" applyFont="1" applyFill="1" applyBorder="1"/>
    <xf numFmtId="43" fontId="32" fillId="12" borderId="22" xfId="0" applyNumberFormat="1" applyFont="1" applyFill="1" applyBorder="1"/>
    <xf numFmtId="43" fontId="32" fillId="12" borderId="31" xfId="0" applyNumberFormat="1" applyFont="1" applyFill="1" applyBorder="1"/>
    <xf numFmtId="43" fontId="32" fillId="13" borderId="39" xfId="1" applyFont="1" applyFill="1" applyBorder="1"/>
    <xf numFmtId="43" fontId="32" fillId="13" borderId="39" xfId="0" applyNumberFormat="1" applyFont="1" applyFill="1" applyBorder="1"/>
    <xf numFmtId="180" fontId="32" fillId="13" borderId="25" xfId="0" applyNumberFormat="1" applyFont="1" applyFill="1" applyBorder="1"/>
    <xf numFmtId="168" fontId="32" fillId="2" borderId="48" xfId="1" applyNumberFormat="1" applyFont="1" applyFill="1" applyBorder="1"/>
    <xf numFmtId="168" fontId="32" fillId="0" borderId="34" xfId="0" applyNumberFormat="1" applyFont="1" applyBorder="1"/>
    <xf numFmtId="168" fontId="32" fillId="0" borderId="49" xfId="0" applyNumberFormat="1" applyFont="1" applyBorder="1"/>
    <xf numFmtId="168" fontId="32" fillId="0" borderId="0" xfId="0" applyNumberFormat="1" applyFont="1" applyFill="1" applyBorder="1"/>
    <xf numFmtId="0" fontId="32" fillId="0" borderId="7" xfId="0" applyFont="1" applyBorder="1"/>
    <xf numFmtId="0" fontId="38" fillId="0" borderId="7" xfId="0" applyFont="1" applyBorder="1"/>
    <xf numFmtId="0" fontId="30" fillId="0" borderId="7" xfId="0" applyFont="1" applyFill="1" applyBorder="1" applyAlignment="1">
      <alignment horizontal="center"/>
    </xf>
    <xf numFmtId="180" fontId="30" fillId="0" borderId="7" xfId="0" applyNumberFormat="1" applyFont="1" applyBorder="1"/>
    <xf numFmtId="180" fontId="32" fillId="0" borderId="7" xfId="0" applyNumberFormat="1" applyFont="1" applyBorder="1"/>
    <xf numFmtId="180" fontId="32" fillId="0" borderId="7" xfId="0" applyNumberFormat="1" applyFont="1" applyFill="1" applyBorder="1"/>
    <xf numFmtId="0" fontId="30" fillId="0" borderId="7" xfId="0" applyFont="1" applyBorder="1"/>
    <xf numFmtId="43" fontId="32" fillId="0" borderId="7" xfId="0" applyNumberFormat="1" applyFont="1" applyBorder="1"/>
    <xf numFmtId="43" fontId="32" fillId="0" borderId="0" xfId="1" applyFont="1"/>
    <xf numFmtId="0" fontId="30" fillId="26" borderId="8" xfId="0" applyFont="1" applyFill="1" applyBorder="1"/>
    <xf numFmtId="43" fontId="32" fillId="0" borderId="24" xfId="1" applyFont="1" applyBorder="1"/>
    <xf numFmtId="9" fontId="32" fillId="0" borderId="28" xfId="2" applyFont="1" applyBorder="1"/>
    <xf numFmtId="0" fontId="32" fillId="0" borderId="27" xfId="0" applyFont="1" applyBorder="1"/>
    <xf numFmtId="43" fontId="32" fillId="0" borderId="6" xfId="1" applyFont="1" applyBorder="1"/>
    <xf numFmtId="9" fontId="32" fillId="0" borderId="25" xfId="2" applyFont="1" applyBorder="1"/>
    <xf numFmtId="0" fontId="30" fillId="0" borderId="6" xfId="0" applyFont="1" applyBorder="1"/>
    <xf numFmtId="43" fontId="30" fillId="0" borderId="6" xfId="1" applyFont="1" applyBorder="1"/>
    <xf numFmtId="0" fontId="32" fillId="0" borderId="0" xfId="0" applyFont="1" applyAlignment="1">
      <alignment wrapText="1"/>
    </xf>
    <xf numFmtId="0" fontId="30" fillId="0" borderId="6" xfId="0" applyFont="1" applyBorder="1" applyAlignment="1">
      <alignment horizontal="center"/>
    </xf>
    <xf numFmtId="0" fontId="30" fillId="0" borderId="6" xfId="0" applyFont="1" applyBorder="1" applyAlignment="1">
      <alignment horizontal="center" wrapText="1"/>
    </xf>
    <xf numFmtId="14" fontId="55" fillId="17" borderId="0" xfId="0" applyNumberFormat="1" applyFont="1" applyFill="1" applyAlignment="1">
      <alignment horizontal="center"/>
    </xf>
    <xf numFmtId="14" fontId="32" fillId="0" borderId="0" xfId="0" applyNumberFormat="1" applyFont="1"/>
    <xf numFmtId="176" fontId="32" fillId="0" borderId="0" xfId="0" applyNumberFormat="1" applyFont="1"/>
    <xf numFmtId="10" fontId="32" fillId="0" borderId="0" xfId="0" applyNumberFormat="1" applyFont="1"/>
    <xf numFmtId="5" fontId="32" fillId="0" borderId="0" xfId="1" applyNumberFormat="1" applyFont="1"/>
    <xf numFmtId="0" fontId="30" fillId="0" borderId="7" xfId="0" applyFont="1" applyBorder="1" applyAlignment="1">
      <alignment horizontal="center" vertical="center" wrapText="1"/>
    </xf>
    <xf numFmtId="0" fontId="32" fillId="0" borderId="29" xfId="0" applyFont="1" applyBorder="1"/>
    <xf numFmtId="43" fontId="30" fillId="0" borderId="8" xfId="1" applyFont="1" applyBorder="1" applyAlignment="1">
      <alignment horizontal="center"/>
    </xf>
    <xf numFmtId="0" fontId="30" fillId="0" borderId="9" xfId="0" applyFont="1" applyBorder="1" applyAlignment="1">
      <alignment horizontal="center"/>
    </xf>
    <xf numFmtId="0" fontId="30" fillId="0" borderId="10" xfId="0" applyFont="1" applyBorder="1" applyAlignment="1">
      <alignment horizontal="center"/>
    </xf>
    <xf numFmtId="0" fontId="32" fillId="0" borderId="31" xfId="0" applyFont="1" applyBorder="1"/>
    <xf numFmtId="0" fontId="32" fillId="0" borderId="7" xfId="0" applyFont="1" applyFill="1" applyBorder="1" applyAlignment="1">
      <alignment horizontal="center" wrapText="1"/>
    </xf>
    <xf numFmtId="0" fontId="30" fillId="0" borderId="7" xfId="0" applyFont="1" applyFill="1" applyBorder="1" applyAlignment="1">
      <alignment horizontal="center" wrapText="1"/>
    </xf>
    <xf numFmtId="168" fontId="32" fillId="0" borderId="7" xfId="1" applyNumberFormat="1" applyFont="1" applyFill="1" applyBorder="1" applyAlignment="1">
      <alignment horizontal="center" wrapText="1"/>
    </xf>
    <xf numFmtId="14" fontId="32" fillId="0" borderId="7" xfId="0" applyNumberFormat="1" applyFont="1" applyFill="1" applyBorder="1" applyAlignment="1">
      <alignment horizontal="center" wrapText="1"/>
    </xf>
    <xf numFmtId="10" fontId="32" fillId="0" borderId="7" xfId="2" applyNumberFormat="1" applyFont="1" applyFill="1" applyBorder="1" applyAlignment="1">
      <alignment horizontal="center" wrapText="1"/>
    </xf>
    <xf numFmtId="168" fontId="32" fillId="0" borderId="7" xfId="1" applyNumberFormat="1" applyFont="1" applyFill="1" applyBorder="1"/>
    <xf numFmtId="169" fontId="32" fillId="0" borderId="7" xfId="2" applyNumberFormat="1" applyFont="1" applyBorder="1"/>
    <xf numFmtId="14" fontId="32" fillId="0" borderId="30" xfId="0" applyNumberFormat="1" applyFont="1" applyBorder="1" applyAlignment="1">
      <alignment horizontal="right"/>
    </xf>
    <xf numFmtId="176" fontId="32" fillId="0" borderId="0" xfId="0" applyNumberFormat="1" applyFont="1" applyBorder="1"/>
    <xf numFmtId="0" fontId="32" fillId="0" borderId="29" xfId="0" applyFont="1" applyFill="1" applyBorder="1" applyAlignment="1">
      <alignment horizontal="center" wrapText="1"/>
    </xf>
    <xf numFmtId="0" fontId="30" fillId="0" borderId="29" xfId="0" applyFont="1" applyFill="1" applyBorder="1" applyAlignment="1">
      <alignment horizontal="center" wrapText="1"/>
    </xf>
    <xf numFmtId="183" fontId="32" fillId="0" borderId="7" xfId="0" applyNumberFormat="1" applyFont="1" applyFill="1" applyBorder="1" applyAlignment="1">
      <alignment horizontal="center" wrapText="1"/>
    </xf>
    <xf numFmtId="10" fontId="32" fillId="0" borderId="7" xfId="0" applyNumberFormat="1" applyFont="1" applyFill="1" applyBorder="1" applyAlignment="1">
      <alignment horizontal="center" wrapText="1"/>
    </xf>
    <xf numFmtId="14" fontId="32" fillId="0" borderId="30" xfId="0" applyNumberFormat="1" applyFont="1" applyBorder="1"/>
    <xf numFmtId="176" fontId="32" fillId="0" borderId="39" xfId="0" applyNumberFormat="1" applyFont="1" applyBorder="1"/>
    <xf numFmtId="10" fontId="55" fillId="9" borderId="7" xfId="2" applyNumberFormat="1" applyFont="1" applyFill="1" applyBorder="1" applyAlignment="1">
      <alignment horizontal="center" wrapText="1"/>
    </xf>
    <xf numFmtId="168" fontId="32" fillId="0" borderId="10" xfId="0" applyNumberFormat="1" applyFont="1" applyBorder="1" applyAlignment="1">
      <alignment horizontal="center" wrapText="1"/>
    </xf>
    <xf numFmtId="169" fontId="55" fillId="2" borderId="7" xfId="2" applyNumberFormat="1" applyFont="1" applyFill="1" applyBorder="1" applyAlignment="1">
      <alignment horizontal="center" wrapText="1"/>
    </xf>
    <xf numFmtId="168" fontId="55" fillId="9" borderId="8" xfId="1" applyNumberFormat="1" applyFont="1" applyFill="1" applyBorder="1" applyAlignment="1">
      <alignment horizontal="center" wrapText="1"/>
    </xf>
    <xf numFmtId="179" fontId="55" fillId="9" borderId="10" xfId="1" applyNumberFormat="1" applyFont="1" applyFill="1" applyBorder="1" applyAlignment="1">
      <alignment horizontal="center" wrapText="1"/>
    </xf>
    <xf numFmtId="0" fontId="32" fillId="0" borderId="0" xfId="0" applyFont="1" applyBorder="1" applyAlignment="1">
      <alignment horizontal="center" wrapText="1"/>
    </xf>
    <xf numFmtId="14" fontId="32" fillId="0" borderId="0" xfId="0" applyNumberFormat="1" applyFont="1" applyBorder="1" applyAlignment="1">
      <alignment horizontal="center" wrapText="1"/>
    </xf>
    <xf numFmtId="10" fontId="32" fillId="0" borderId="7" xfId="0" applyNumberFormat="1" applyFont="1" applyBorder="1"/>
    <xf numFmtId="168" fontId="55" fillId="9" borderId="7" xfId="1" applyNumberFormat="1" applyFont="1" applyFill="1" applyBorder="1" applyAlignment="1">
      <alignment horizontal="center" wrapText="1"/>
    </xf>
    <xf numFmtId="14" fontId="32" fillId="3" borderId="30" xfId="0" applyNumberFormat="1" applyFont="1" applyFill="1" applyBorder="1"/>
    <xf numFmtId="176" fontId="32" fillId="3" borderId="0" xfId="0" applyNumberFormat="1" applyFont="1" applyFill="1" applyBorder="1"/>
    <xf numFmtId="176" fontId="32" fillId="3" borderId="39" xfId="0" applyNumberFormat="1" applyFont="1" applyFill="1" applyBorder="1"/>
    <xf numFmtId="168" fontId="32" fillId="0" borderId="31" xfId="1" applyNumberFormat="1" applyFont="1" applyBorder="1"/>
    <xf numFmtId="187" fontId="32" fillId="0" borderId="7" xfId="0" applyNumberFormat="1" applyFont="1" applyBorder="1"/>
    <xf numFmtId="9" fontId="32" fillId="0" borderId="7" xfId="0" applyNumberFormat="1" applyFont="1" applyBorder="1" applyAlignment="1">
      <alignment horizontal="center"/>
    </xf>
    <xf numFmtId="10" fontId="32" fillId="0" borderId="7" xfId="2" applyNumberFormat="1" applyFont="1" applyBorder="1"/>
    <xf numFmtId="0" fontId="32" fillId="0" borderId="8" xfId="0" applyFont="1" applyBorder="1"/>
    <xf numFmtId="176" fontId="32" fillId="0" borderId="9" xfId="0" applyNumberFormat="1" applyFont="1" applyBorder="1"/>
    <xf numFmtId="176" fontId="32" fillId="0" borderId="10" xfId="0" applyNumberFormat="1" applyFont="1" applyBorder="1"/>
    <xf numFmtId="168" fontId="32" fillId="0" borderId="7" xfId="0" applyNumberFormat="1" applyFont="1" applyBorder="1"/>
    <xf numFmtId="178" fontId="32" fillId="0" borderId="0" xfId="0" applyNumberFormat="1" applyFont="1"/>
    <xf numFmtId="10" fontId="32" fillId="0" borderId="7" xfId="0" applyNumberFormat="1" applyFont="1" applyBorder="1" applyAlignment="1">
      <alignment horizontal="center"/>
    </xf>
    <xf numFmtId="168" fontId="32" fillId="2" borderId="0" xfId="1" applyNumberFormat="1" applyFont="1" applyFill="1"/>
    <xf numFmtId="0" fontId="32" fillId="0" borderId="0" xfId="0" applyFont="1" applyAlignment="1">
      <alignment horizontal="center"/>
    </xf>
    <xf numFmtId="43" fontId="32" fillId="0" borderId="0" xfId="1" applyFont="1" applyAlignment="1">
      <alignment horizontal="center"/>
    </xf>
    <xf numFmtId="3" fontId="32" fillId="0" borderId="0" xfId="0" applyNumberFormat="1" applyFont="1"/>
    <xf numFmtId="179" fontId="32" fillId="0" borderId="0" xfId="1" applyNumberFormat="1" applyFont="1"/>
    <xf numFmtId="0" fontId="31" fillId="0" borderId="0" xfId="0" applyFont="1" applyAlignment="1">
      <alignment horizontal="left"/>
    </xf>
    <xf numFmtId="3" fontId="32" fillId="0" borderId="0" xfId="0" applyNumberFormat="1" applyFont="1" applyBorder="1"/>
    <xf numFmtId="14" fontId="32" fillId="0" borderId="6" xfId="0" applyNumberFormat="1" applyFont="1" applyBorder="1"/>
    <xf numFmtId="176" fontId="32" fillId="0" borderId="6" xfId="0" applyNumberFormat="1" applyFont="1" applyBorder="1"/>
    <xf numFmtId="10" fontId="32" fillId="0" borderId="6" xfId="0" applyNumberFormat="1" applyFont="1" applyBorder="1"/>
    <xf numFmtId="5" fontId="32" fillId="0" borderId="6" xfId="1" applyNumberFormat="1" applyFont="1" applyBorder="1"/>
    <xf numFmtId="168" fontId="32" fillId="0" borderId="0" xfId="1" applyNumberFormat="1" applyFont="1"/>
    <xf numFmtId="5" fontId="30" fillId="0" borderId="0" xfId="1" applyNumberFormat="1" applyFont="1"/>
    <xf numFmtId="5" fontId="30" fillId="0" borderId="0" xfId="0" applyNumberFormat="1" applyFont="1"/>
    <xf numFmtId="0" fontId="32" fillId="0" borderId="24" xfId="0" applyFont="1" applyBorder="1"/>
    <xf numFmtId="5" fontId="32" fillId="0" borderId="0" xfId="0" applyNumberFormat="1" applyFont="1"/>
    <xf numFmtId="0" fontId="30" fillId="0" borderId="27" xfId="0" applyFont="1" applyBorder="1" applyAlignment="1">
      <alignment horizontal="center"/>
    </xf>
    <xf numFmtId="0" fontId="30" fillId="0" borderId="25" xfId="0" applyFont="1" applyBorder="1" applyAlignment="1">
      <alignment horizontal="center"/>
    </xf>
    <xf numFmtId="0" fontId="30" fillId="0" borderId="27" xfId="0" applyFont="1" applyBorder="1" applyAlignment="1">
      <alignment horizontal="left"/>
    </xf>
    <xf numFmtId="0" fontId="30" fillId="0" borderId="26" xfId="0" applyFont="1" applyBorder="1" applyAlignment="1">
      <alignment horizontal="center"/>
    </xf>
    <xf numFmtId="0" fontId="32" fillId="0" borderId="23" xfId="0" applyFont="1" applyBorder="1" applyAlignment="1">
      <alignment horizontal="left"/>
    </xf>
    <xf numFmtId="6" fontId="27" fillId="0" borderId="30" xfId="0" applyNumberFormat="1" applyFont="1" applyBorder="1" applyAlignment="1">
      <alignment horizontal="center"/>
    </xf>
    <xf numFmtId="6" fontId="27" fillId="0" borderId="39" xfId="0" applyNumberFormat="1" applyFont="1" applyBorder="1" applyAlignment="1">
      <alignment horizontal="center"/>
    </xf>
    <xf numFmtId="0" fontId="30" fillId="0" borderId="0" xfId="0" applyFont="1" applyBorder="1"/>
    <xf numFmtId="0" fontId="32" fillId="0" borderId="30" xfId="0" applyFont="1" applyBorder="1" applyAlignment="1">
      <alignment horizontal="left"/>
    </xf>
    <xf numFmtId="6" fontId="32" fillId="0" borderId="30" xfId="0" applyNumberFormat="1" applyFont="1" applyBorder="1" applyAlignment="1">
      <alignment horizontal="center"/>
    </xf>
    <xf numFmtId="6" fontId="32" fillId="0" borderId="39" xfId="0" applyNumberFormat="1" applyFont="1" applyBorder="1" applyAlignment="1">
      <alignment horizontal="center"/>
    </xf>
    <xf numFmtId="0" fontId="32" fillId="0" borderId="39" xfId="0" applyFont="1" applyBorder="1" applyAlignment="1">
      <alignment horizontal="center"/>
    </xf>
    <xf numFmtId="0" fontId="32" fillId="0" borderId="31" xfId="0" applyFont="1" applyBorder="1" applyAlignment="1">
      <alignment horizontal="center"/>
    </xf>
    <xf numFmtId="9" fontId="32" fillId="0" borderId="30" xfId="2" applyNumberFormat="1" applyFont="1" applyBorder="1"/>
    <xf numFmtId="9" fontId="32" fillId="0" borderId="0" xfId="0" applyNumberFormat="1" applyFont="1" applyBorder="1"/>
    <xf numFmtId="10" fontId="32" fillId="0" borderId="0" xfId="2" applyNumberFormat="1" applyFont="1" applyBorder="1"/>
    <xf numFmtId="9" fontId="32" fillId="0" borderId="30" xfId="0" applyNumberFormat="1" applyFont="1" applyBorder="1"/>
    <xf numFmtId="5" fontId="32" fillId="0" borderId="0" xfId="1" applyNumberFormat="1" applyFont="1" applyBorder="1"/>
    <xf numFmtId="14" fontId="32" fillId="3" borderId="30" xfId="0" applyNumberFormat="1" applyFont="1" applyFill="1" applyBorder="1" applyAlignment="1">
      <alignment horizontal="right"/>
    </xf>
    <xf numFmtId="168" fontId="32" fillId="0" borderId="30" xfId="1" applyNumberFormat="1" applyFont="1" applyBorder="1" applyAlignment="1">
      <alignment horizontal="center"/>
    </xf>
    <xf numFmtId="168" fontId="32" fillId="0" borderId="39" xfId="1" applyNumberFormat="1" applyFont="1" applyBorder="1" applyAlignment="1">
      <alignment horizontal="center"/>
    </xf>
    <xf numFmtId="10" fontId="32" fillId="0" borderId="30" xfId="2" applyNumberFormat="1" applyFont="1" applyBorder="1"/>
    <xf numFmtId="169" fontId="32" fillId="0" borderId="0" xfId="0" applyNumberFormat="1" applyFont="1" applyBorder="1"/>
    <xf numFmtId="9" fontId="32" fillId="0" borderId="0" xfId="0" applyNumberFormat="1" applyFont="1" applyFill="1" applyBorder="1"/>
    <xf numFmtId="10" fontId="32" fillId="0" borderId="0" xfId="2" applyNumberFormat="1" applyFont="1" applyFill="1" applyBorder="1"/>
    <xf numFmtId="0" fontId="32" fillId="0" borderId="0" xfId="0" applyFont="1" applyFill="1"/>
    <xf numFmtId="0" fontId="30" fillId="0" borderId="0" xfId="0" applyFont="1" applyBorder="1" applyAlignment="1">
      <alignment horizontal="center"/>
    </xf>
    <xf numFmtId="0" fontId="32" fillId="0" borderId="27" xfId="0" applyFont="1" applyBorder="1" applyAlignment="1">
      <alignment horizontal="left"/>
    </xf>
    <xf numFmtId="0" fontId="32" fillId="0" borderId="25" xfId="0" applyFont="1" applyBorder="1" applyAlignment="1">
      <alignment horizontal="center"/>
    </xf>
    <xf numFmtId="43" fontId="32" fillId="0" borderId="26" xfId="1" applyFont="1" applyBorder="1" applyAlignment="1">
      <alignment horizontal="center"/>
    </xf>
    <xf numFmtId="43" fontId="32" fillId="0" borderId="25" xfId="1" applyFont="1" applyBorder="1" applyAlignment="1">
      <alignment horizontal="center"/>
    </xf>
    <xf numFmtId="0" fontId="32" fillId="0" borderId="0" xfId="0" applyFont="1" applyBorder="1" applyAlignment="1">
      <alignment horizontal="left"/>
    </xf>
    <xf numFmtId="168" fontId="32" fillId="0" borderId="30" xfId="1" applyNumberFormat="1" applyFont="1" applyFill="1" applyBorder="1"/>
    <xf numFmtId="168" fontId="32" fillId="0" borderId="39" xfId="1" applyNumberFormat="1" applyFont="1" applyFill="1" applyBorder="1"/>
    <xf numFmtId="10" fontId="32" fillId="0" borderId="0" xfId="0" applyNumberFormat="1" applyFont="1" applyFill="1" applyBorder="1"/>
    <xf numFmtId="0" fontId="32" fillId="0" borderId="6" xfId="0" applyFont="1" applyBorder="1"/>
    <xf numFmtId="0" fontId="32" fillId="0" borderId="6" xfId="0" applyFont="1" applyBorder="1" applyAlignment="1">
      <alignment horizontal="left"/>
    </xf>
    <xf numFmtId="168" fontId="32" fillId="0" borderId="27" xfId="1" applyNumberFormat="1" applyFont="1" applyFill="1" applyBorder="1"/>
    <xf numFmtId="3" fontId="32" fillId="0" borderId="8" xfId="0" applyNumberFormat="1" applyFont="1" applyBorder="1"/>
    <xf numFmtId="177" fontId="32" fillId="0" borderId="0" xfId="0" applyNumberFormat="1" applyFont="1"/>
    <xf numFmtId="0" fontId="32" fillId="0" borderId="0" xfId="0" applyFont="1" applyAlignment="1">
      <alignment vertical="top" wrapText="1"/>
    </xf>
    <xf numFmtId="3" fontId="32" fillId="0" borderId="39" xfId="0" applyNumberFormat="1" applyFont="1" applyBorder="1"/>
    <xf numFmtId="0" fontId="32" fillId="7" borderId="30" xfId="0" applyFont="1" applyFill="1" applyBorder="1"/>
    <xf numFmtId="0" fontId="32" fillId="7" borderId="0" xfId="0" applyFont="1" applyFill="1" applyBorder="1"/>
    <xf numFmtId="3" fontId="32" fillId="7" borderId="0" xfId="0" applyNumberFormat="1" applyFont="1" applyFill="1" applyBorder="1"/>
    <xf numFmtId="3" fontId="32" fillId="7" borderId="39" xfId="0" applyNumberFormat="1" applyFont="1" applyFill="1" applyBorder="1"/>
    <xf numFmtId="0" fontId="32" fillId="7" borderId="27" xfId="0" applyFont="1" applyFill="1" applyBorder="1"/>
    <xf numFmtId="0" fontId="32" fillId="7" borderId="6" xfId="0" applyFont="1" applyFill="1" applyBorder="1"/>
    <xf numFmtId="9" fontId="32" fillId="7" borderId="6" xfId="2" applyFont="1" applyFill="1" applyBorder="1"/>
    <xf numFmtId="9" fontId="32" fillId="7" borderId="25" xfId="2" applyFont="1" applyFill="1" applyBorder="1"/>
    <xf numFmtId="9" fontId="32" fillId="0" borderId="0" xfId="0" applyNumberFormat="1" applyFont="1"/>
    <xf numFmtId="0" fontId="31" fillId="2" borderId="0" xfId="0" applyFont="1" applyFill="1"/>
    <xf numFmtId="0" fontId="30" fillId="2" borderId="0" xfId="0" applyFont="1" applyFill="1" applyBorder="1" applyAlignment="1">
      <alignment horizontal="left"/>
    </xf>
    <xf numFmtId="0" fontId="30" fillId="2" borderId="0" xfId="0" applyFont="1" applyFill="1" applyBorder="1" applyAlignment="1">
      <alignment horizontal="center"/>
    </xf>
    <xf numFmtId="0" fontId="28" fillId="2" borderId="0" xfId="0" applyFont="1" applyFill="1"/>
    <xf numFmtId="0" fontId="30" fillId="2" borderId="0" xfId="0" applyFont="1" applyFill="1" applyBorder="1" applyAlignment="1">
      <alignment wrapText="1"/>
    </xf>
    <xf numFmtId="9" fontId="32" fillId="2" borderId="0" xfId="0" applyNumberFormat="1" applyFont="1" applyFill="1" applyBorder="1"/>
    <xf numFmtId="169" fontId="32" fillId="2" borderId="0" xfId="0" applyNumberFormat="1" applyFont="1" applyFill="1" applyBorder="1"/>
    <xf numFmtId="169" fontId="32" fillId="2" borderId="0" xfId="2" applyNumberFormat="1" applyFont="1" applyFill="1" applyBorder="1"/>
    <xf numFmtId="0" fontId="21" fillId="2" borderId="60" xfId="0" applyFont="1" applyFill="1" applyBorder="1" applyAlignment="1">
      <alignment horizontal="left"/>
    </xf>
    <xf numFmtId="0" fontId="21" fillId="2" borderId="60" xfId="0" applyFont="1" applyFill="1" applyBorder="1" applyAlignment="1">
      <alignment horizontal="center"/>
    </xf>
    <xf numFmtId="0" fontId="30" fillId="2" borderId="60" xfId="0" applyFont="1" applyFill="1" applyBorder="1" applyAlignment="1">
      <alignment horizontal="center"/>
    </xf>
    <xf numFmtId="0" fontId="21" fillId="2" borderId="0" xfId="0" applyFont="1" applyFill="1" applyBorder="1" applyAlignment="1">
      <alignment horizontal="center"/>
    </xf>
    <xf numFmtId="2" fontId="32" fillId="2" borderId="0" xfId="0" applyNumberFormat="1" applyFont="1" applyFill="1" applyBorder="1" applyAlignment="1">
      <alignment horizontal="center"/>
    </xf>
    <xf numFmtId="189" fontId="32" fillId="2" borderId="0" xfId="1" applyNumberFormat="1" applyFont="1" applyFill="1" applyBorder="1"/>
    <xf numFmtId="188" fontId="32" fillId="2" borderId="0" xfId="0" applyNumberFormat="1" applyFont="1" applyFill="1" applyBorder="1"/>
    <xf numFmtId="0" fontId="30" fillId="2" borderId="60" xfId="0" applyFont="1" applyFill="1" applyBorder="1"/>
    <xf numFmtId="189" fontId="32" fillId="2" borderId="60" xfId="1" applyNumberFormat="1" applyFont="1" applyFill="1" applyBorder="1"/>
    <xf numFmtId="0" fontId="21" fillId="2" borderId="60" xfId="0" applyFont="1" applyFill="1" applyBorder="1" applyAlignment="1"/>
    <xf numFmtId="0" fontId="30" fillId="2" borderId="60" xfId="0" applyFont="1" applyFill="1" applyBorder="1" applyAlignment="1"/>
    <xf numFmtId="168" fontId="32" fillId="2" borderId="0" xfId="1" applyNumberFormat="1" applyFont="1" applyFill="1" applyBorder="1"/>
    <xf numFmtId="0" fontId="30" fillId="9" borderId="0" xfId="0" applyFont="1" applyFill="1" applyBorder="1"/>
    <xf numFmtId="0" fontId="32" fillId="9" borderId="0" xfId="0" applyFont="1" applyFill="1" applyBorder="1"/>
    <xf numFmtId="189" fontId="30" fillId="9" borderId="0" xfId="1" applyNumberFormat="1" applyFont="1" applyFill="1" applyBorder="1"/>
    <xf numFmtId="43" fontId="32" fillId="2" borderId="0" xfId="1" applyFont="1" applyFill="1"/>
    <xf numFmtId="43" fontId="30" fillId="2" borderId="0" xfId="1" applyFont="1" applyFill="1" applyBorder="1"/>
    <xf numFmtId="43" fontId="30" fillId="9" borderId="0" xfId="1" applyFont="1" applyFill="1" applyBorder="1"/>
    <xf numFmtId="43" fontId="32" fillId="9" borderId="0" xfId="1" applyFont="1" applyFill="1" applyBorder="1"/>
    <xf numFmtId="189" fontId="32" fillId="9" borderId="0" xfId="1" applyNumberFormat="1" applyFont="1" applyFill="1" applyBorder="1"/>
    <xf numFmtId="0" fontId="30" fillId="2" borderId="24" xfId="0" applyFont="1" applyFill="1" applyBorder="1"/>
    <xf numFmtId="0" fontId="32" fillId="2" borderId="24" xfId="0" applyFont="1" applyFill="1" applyBorder="1"/>
    <xf numFmtId="189" fontId="32" fillId="2" borderId="24" xfId="1" applyNumberFormat="1" applyFont="1" applyFill="1" applyBorder="1"/>
    <xf numFmtId="189" fontId="32" fillId="9" borderId="0" xfId="0" applyNumberFormat="1" applyFont="1" applyFill="1" applyBorder="1"/>
    <xf numFmtId="168" fontId="32" fillId="2" borderId="0" xfId="0" applyNumberFormat="1" applyFont="1" applyFill="1" applyBorder="1"/>
    <xf numFmtId="0" fontId="32" fillId="2" borderId="1" xfId="0" applyFont="1" applyFill="1" applyBorder="1"/>
    <xf numFmtId="0" fontId="32" fillId="2" borderId="2" xfId="0" applyFont="1" applyFill="1" applyBorder="1"/>
    <xf numFmtId="190" fontId="32" fillId="2" borderId="3" xfId="0" applyNumberFormat="1" applyFont="1" applyFill="1" applyBorder="1"/>
    <xf numFmtId="0" fontId="32" fillId="2" borderId="4" xfId="0" applyFont="1" applyFill="1" applyBorder="1"/>
    <xf numFmtId="190" fontId="32" fillId="2" borderId="5" xfId="0" applyNumberFormat="1" applyFont="1" applyFill="1" applyBorder="1"/>
    <xf numFmtId="168" fontId="32" fillId="2" borderId="0" xfId="1" applyNumberFormat="1" applyFont="1" applyFill="1" applyBorder="1" applyAlignment="1">
      <alignment horizontal="center"/>
    </xf>
    <xf numFmtId="0" fontId="30" fillId="9" borderId="4" xfId="0" applyFont="1" applyFill="1" applyBorder="1"/>
    <xf numFmtId="190" fontId="30" fillId="9" borderId="5" xfId="0" applyNumberFormat="1" applyFont="1" applyFill="1" applyBorder="1"/>
    <xf numFmtId="0" fontId="32" fillId="2" borderId="73" xfId="0" applyFont="1" applyFill="1" applyBorder="1"/>
    <xf numFmtId="0" fontId="32" fillId="2" borderId="6" xfId="0" applyFont="1" applyFill="1" applyBorder="1"/>
    <xf numFmtId="168" fontId="32" fillId="2" borderId="6" xfId="1" applyNumberFormat="1" applyFont="1" applyFill="1" applyBorder="1" applyAlignment="1">
      <alignment horizontal="center"/>
    </xf>
    <xf numFmtId="0" fontId="32" fillId="2" borderId="12" xfId="0" applyFont="1" applyFill="1" applyBorder="1"/>
    <xf numFmtId="0" fontId="32" fillId="2" borderId="13" xfId="0" applyFont="1" applyFill="1" applyBorder="1"/>
    <xf numFmtId="6" fontId="32" fillId="2" borderId="11" xfId="0" applyNumberFormat="1" applyFont="1" applyFill="1" applyBorder="1"/>
    <xf numFmtId="0" fontId="30" fillId="2" borderId="4" xfId="0" applyFont="1" applyFill="1" applyBorder="1"/>
    <xf numFmtId="168" fontId="30" fillId="2" borderId="0" xfId="1" applyNumberFormat="1" applyFont="1" applyFill="1" applyBorder="1" applyAlignment="1">
      <alignment horizontal="center"/>
    </xf>
    <xf numFmtId="0" fontId="55" fillId="2" borderId="72" xfId="0" applyFont="1" applyFill="1" applyBorder="1" applyAlignment="1">
      <alignment wrapText="1"/>
    </xf>
    <xf numFmtId="0" fontId="55" fillId="2" borderId="71" xfId="0" applyFont="1" applyFill="1" applyBorder="1" applyAlignment="1">
      <alignment wrapText="1"/>
    </xf>
    <xf numFmtId="0" fontId="32" fillId="0" borderId="47" xfId="0" applyFont="1" applyBorder="1"/>
    <xf numFmtId="182" fontId="32" fillId="0" borderId="0" xfId="0" applyNumberFormat="1" applyFont="1" applyBorder="1"/>
    <xf numFmtId="182" fontId="32" fillId="0" borderId="0" xfId="0" applyNumberFormat="1" applyFont="1"/>
    <xf numFmtId="0" fontId="6" fillId="0" borderId="0" xfId="6" applyFont="1" applyAlignment="1">
      <alignment horizontal="left"/>
    </xf>
    <xf numFmtId="0" fontId="6" fillId="0" borderId="0" xfId="6" applyFont="1" applyAlignment="1"/>
    <xf numFmtId="0" fontId="6" fillId="0" borderId="0" xfId="6" applyFont="1"/>
    <xf numFmtId="0" fontId="52" fillId="0" borderId="0" xfId="6" applyFont="1" applyAlignment="1">
      <alignment horizontal="left"/>
    </xf>
    <xf numFmtId="0" fontId="52" fillId="0" borderId="0" xfId="6" applyFont="1"/>
    <xf numFmtId="184" fontId="6" fillId="0" borderId="0" xfId="14" applyFont="1"/>
    <xf numFmtId="0" fontId="6" fillId="0" borderId="50" xfId="6" applyFont="1" applyBorder="1"/>
    <xf numFmtId="0" fontId="56" fillId="16" borderId="50" xfId="6" applyFont="1" applyFill="1" applyBorder="1"/>
    <xf numFmtId="0" fontId="6" fillId="10" borderId="50" xfId="6" applyFont="1" applyFill="1" applyBorder="1"/>
    <xf numFmtId="184" fontId="6" fillId="17" borderId="50" xfId="14" applyNumberFormat="1" applyFont="1" applyFill="1" applyBorder="1"/>
    <xf numFmtId="184" fontId="6" fillId="9" borderId="50" xfId="14" applyNumberFormat="1" applyFont="1" applyFill="1" applyBorder="1"/>
    <xf numFmtId="0" fontId="56" fillId="18" borderId="50" xfId="6" applyFont="1" applyFill="1" applyBorder="1"/>
    <xf numFmtId="10" fontId="6" fillId="17" borderId="50" xfId="15" applyNumberFormat="1" applyFont="1" applyFill="1" applyBorder="1"/>
    <xf numFmtId="10" fontId="6" fillId="8" borderId="50" xfId="15" applyNumberFormat="1" applyFont="1" applyFill="1" applyBorder="1"/>
    <xf numFmtId="10" fontId="6" fillId="0" borderId="0" xfId="15" applyNumberFormat="1" applyFont="1"/>
    <xf numFmtId="3" fontId="6" fillId="17" borderId="50" xfId="6" applyNumberFormat="1" applyFont="1" applyFill="1" applyBorder="1" applyAlignment="1">
      <alignment vertical="center"/>
    </xf>
    <xf numFmtId="168" fontId="6" fillId="8" borderId="50" xfId="1" applyNumberFormat="1" applyFont="1" applyFill="1" applyBorder="1"/>
    <xf numFmtId="2" fontId="6" fillId="17" borderId="50" xfId="6" applyNumberFormat="1" applyFont="1" applyFill="1" applyBorder="1" applyAlignment="1">
      <alignment horizontal="right" vertical="center"/>
    </xf>
    <xf numFmtId="10" fontId="6" fillId="17" borderId="50" xfId="15" applyNumberFormat="1" applyFont="1" applyFill="1" applyBorder="1" applyAlignment="1">
      <alignment horizontal="right" vertical="center"/>
    </xf>
    <xf numFmtId="185" fontId="6" fillId="17" borderId="50" xfId="14" applyNumberFormat="1" applyFont="1" applyFill="1" applyBorder="1"/>
    <xf numFmtId="168" fontId="6" fillId="9" borderId="50" xfId="1" applyNumberFormat="1" applyFont="1" applyFill="1" applyBorder="1"/>
    <xf numFmtId="9" fontId="6" fillId="17" borderId="50" xfId="15" applyFont="1" applyFill="1" applyBorder="1"/>
    <xf numFmtId="9" fontId="6" fillId="9" borderId="50" xfId="15" applyFont="1" applyFill="1" applyBorder="1"/>
    <xf numFmtId="9" fontId="6" fillId="0" borderId="0" xfId="15" applyFont="1"/>
    <xf numFmtId="185" fontId="6" fillId="0" borderId="0" xfId="6" applyNumberFormat="1" applyFont="1"/>
    <xf numFmtId="168" fontId="6" fillId="9" borderId="50" xfId="14" applyNumberFormat="1" applyFont="1" applyFill="1" applyBorder="1"/>
    <xf numFmtId="0" fontId="6" fillId="0" borderId="0" xfId="6" applyFont="1" applyFill="1" applyAlignment="1">
      <alignment horizontal="left"/>
    </xf>
    <xf numFmtId="185" fontId="56" fillId="16" borderId="50" xfId="14" applyNumberFormat="1" applyFont="1" applyFill="1" applyBorder="1"/>
    <xf numFmtId="185" fontId="56" fillId="0" borderId="0" xfId="14" applyNumberFormat="1" applyFont="1" applyFill="1" applyBorder="1"/>
    <xf numFmtId="9" fontId="6" fillId="0" borderId="0" xfId="15" applyFont="1" applyFill="1" applyBorder="1"/>
    <xf numFmtId="185" fontId="6" fillId="0" borderId="0" xfId="14" applyNumberFormat="1" applyFont="1" applyFill="1" applyBorder="1"/>
    <xf numFmtId="0" fontId="57" fillId="0" borderId="51" xfId="6" applyFont="1" applyFill="1" applyBorder="1" applyAlignment="1">
      <alignment horizontal="left" vertical="center"/>
    </xf>
    <xf numFmtId="0" fontId="57" fillId="0" borderId="52" xfId="6" applyFont="1" applyFill="1" applyBorder="1" applyAlignment="1">
      <alignment horizontal="left" vertical="center"/>
    </xf>
    <xf numFmtId="0" fontId="57" fillId="0" borderId="53" xfId="6" applyFont="1" applyFill="1" applyBorder="1" applyAlignment="1">
      <alignment horizontal="left" vertical="center"/>
    </xf>
    <xf numFmtId="169" fontId="6" fillId="0" borderId="0" xfId="15" applyNumberFormat="1" applyFont="1"/>
    <xf numFmtId="169" fontId="6" fillId="0" borderId="0" xfId="15" applyNumberFormat="1" applyFont="1" applyFill="1"/>
    <xf numFmtId="9" fontId="56" fillId="16" borderId="50" xfId="15" applyFont="1" applyFill="1" applyBorder="1"/>
    <xf numFmtId="169" fontId="56" fillId="16" borderId="50" xfId="15" applyNumberFormat="1" applyFont="1" applyFill="1" applyBorder="1"/>
    <xf numFmtId="9" fontId="56" fillId="18" borderId="50" xfId="15" applyFont="1" applyFill="1" applyBorder="1"/>
    <xf numFmtId="0" fontId="6" fillId="0" borderId="0" xfId="6" applyFont="1" applyFill="1" applyBorder="1" applyProtection="1"/>
    <xf numFmtId="169" fontId="58" fillId="0" borderId="0" xfId="15" applyNumberFormat="1" applyFont="1" applyFill="1" applyBorder="1" applyAlignment="1" applyProtection="1">
      <alignment horizontal="center"/>
      <protection locked="0"/>
    </xf>
    <xf numFmtId="169" fontId="58" fillId="0" borderId="0" xfId="16" applyNumberFormat="1" applyFont="1" applyFill="1" applyBorder="1" applyAlignment="1" applyProtection="1">
      <alignment horizontal="center"/>
      <protection locked="0"/>
    </xf>
    <xf numFmtId="169" fontId="6" fillId="0" borderId="0" xfId="15" applyNumberFormat="1" applyFont="1" applyFill="1" applyBorder="1"/>
    <xf numFmtId="9" fontId="6" fillId="0" borderId="0" xfId="15" applyFont="1" applyFill="1"/>
    <xf numFmtId="167" fontId="6" fillId="0" borderId="0" xfId="6" applyNumberFormat="1" applyFont="1"/>
    <xf numFmtId="184" fontId="6" fillId="17" borderId="50" xfId="14" applyFont="1" applyFill="1" applyBorder="1"/>
    <xf numFmtId="184" fontId="6" fillId="8" borderId="50" xfId="14" applyFont="1" applyFill="1" applyBorder="1"/>
    <xf numFmtId="185" fontId="6" fillId="0" borderId="0" xfId="14" applyNumberFormat="1" applyFont="1"/>
    <xf numFmtId="185" fontId="56" fillId="16" borderId="50" xfId="15" applyNumberFormat="1" applyFont="1" applyFill="1" applyBorder="1"/>
    <xf numFmtId="0" fontId="56" fillId="16" borderId="50" xfId="6" applyFont="1" applyFill="1" applyBorder="1" applyAlignment="1">
      <alignment horizontal="center" vertical="center"/>
    </xf>
    <xf numFmtId="0" fontId="56" fillId="20" borderId="50" xfId="6" applyFont="1" applyFill="1" applyBorder="1" applyAlignment="1">
      <alignment horizontal="center" vertical="center"/>
    </xf>
    <xf numFmtId="0" fontId="12" fillId="21" borderId="50" xfId="6" applyFont="1" applyFill="1" applyBorder="1"/>
    <xf numFmtId="184" fontId="6" fillId="0" borderId="50" xfId="14" applyFont="1" applyBorder="1"/>
    <xf numFmtId="184" fontId="6" fillId="22" borderId="50" xfId="6" applyNumberFormat="1" applyFont="1" applyFill="1" applyBorder="1"/>
    <xf numFmtId="0" fontId="6" fillId="0" borderId="50" xfId="6" applyFont="1" applyFill="1" applyBorder="1"/>
    <xf numFmtId="9" fontId="6" fillId="0" borderId="50" xfId="6" applyNumberFormat="1" applyFont="1" applyFill="1" applyBorder="1"/>
    <xf numFmtId="0" fontId="12" fillId="0" borderId="50" xfId="6" applyFont="1" applyFill="1" applyBorder="1"/>
    <xf numFmtId="0" fontId="59" fillId="23" borderId="50" xfId="6" applyFont="1" applyFill="1" applyBorder="1" applyProtection="1"/>
    <xf numFmtId="0" fontId="59" fillId="23" borderId="50" xfId="6" applyFont="1" applyFill="1" applyBorder="1" applyAlignment="1" applyProtection="1">
      <alignment horizontal="center"/>
    </xf>
    <xf numFmtId="0" fontId="59" fillId="24" borderId="50" xfId="6" applyFont="1" applyFill="1" applyBorder="1" applyAlignment="1" applyProtection="1">
      <alignment horizontal="center"/>
    </xf>
    <xf numFmtId="0" fontId="59" fillId="0" borderId="53" xfId="6" applyFont="1" applyFill="1" applyBorder="1" applyAlignment="1" applyProtection="1">
      <alignment horizontal="center"/>
    </xf>
    <xf numFmtId="0" fontId="59" fillId="0" borderId="50" xfId="6" applyFont="1" applyFill="1" applyBorder="1" applyAlignment="1" applyProtection="1">
      <alignment horizontal="center"/>
    </xf>
    <xf numFmtId="0" fontId="6" fillId="25" borderId="50" xfId="6" applyFont="1" applyFill="1" applyBorder="1" applyProtection="1"/>
    <xf numFmtId="169" fontId="58" fillId="25" borderId="50" xfId="15" applyNumberFormat="1" applyFont="1" applyFill="1" applyBorder="1" applyAlignment="1" applyProtection="1">
      <alignment horizontal="center"/>
      <protection locked="0"/>
    </xf>
    <xf numFmtId="169" fontId="58" fillId="25" borderId="50" xfId="16" applyNumberFormat="1" applyFont="1" applyFill="1" applyBorder="1" applyAlignment="1" applyProtection="1">
      <alignment horizontal="center"/>
      <protection locked="0"/>
    </xf>
    <xf numFmtId="169" fontId="6" fillId="0" borderId="50" xfId="15" applyNumberFormat="1" applyFont="1" applyFill="1" applyBorder="1"/>
    <xf numFmtId="0" fontId="6" fillId="0" borderId="0" xfId="6" applyFont="1" applyBorder="1"/>
    <xf numFmtId="0" fontId="6" fillId="0" borderId="39" xfId="6" applyFont="1" applyBorder="1"/>
    <xf numFmtId="0" fontId="6" fillId="0" borderId="30" xfId="6" applyFont="1" applyBorder="1"/>
    <xf numFmtId="0" fontId="6" fillId="26" borderId="30" xfId="6" applyFont="1" applyFill="1" applyBorder="1" applyAlignment="1">
      <alignment horizontal="right"/>
    </xf>
    <xf numFmtId="0" fontId="6" fillId="26" borderId="0" xfId="6" applyFont="1" applyFill="1" applyBorder="1"/>
    <xf numFmtId="0" fontId="6" fillId="26" borderId="39" xfId="6" applyFont="1" applyFill="1" applyBorder="1"/>
    <xf numFmtId="0" fontId="6" fillId="0" borderId="27" xfId="6" applyFont="1" applyBorder="1"/>
    <xf numFmtId="0" fontId="6" fillId="0" borderId="6" xfId="6" applyFont="1" applyBorder="1"/>
    <xf numFmtId="0" fontId="6" fillId="0" borderId="25" xfId="6" applyFont="1" applyBorder="1"/>
    <xf numFmtId="0" fontId="30" fillId="0" borderId="6" xfId="6" applyFont="1" applyFill="1" applyBorder="1"/>
    <xf numFmtId="9" fontId="32" fillId="0" borderId="0" xfId="16" applyFont="1"/>
    <xf numFmtId="0" fontId="6" fillId="0" borderId="8" xfId="6" applyFont="1" applyBorder="1"/>
    <xf numFmtId="0" fontId="30" fillId="0" borderId="9" xfId="6" applyFont="1" applyBorder="1" applyAlignment="1">
      <alignment horizontal="center"/>
    </xf>
    <xf numFmtId="0" fontId="30" fillId="0" borderId="10" xfId="6" applyFont="1" applyBorder="1" applyAlignment="1">
      <alignment horizontal="center"/>
    </xf>
    <xf numFmtId="186" fontId="6" fillId="0" borderId="0" xfId="6" applyNumberFormat="1" applyFont="1" applyBorder="1"/>
    <xf numFmtId="186" fontId="6" fillId="0" borderId="39" xfId="6" applyNumberFormat="1" applyFont="1" applyBorder="1"/>
    <xf numFmtId="9" fontId="6" fillId="0" borderId="0" xfId="6" applyNumberFormat="1" applyFont="1"/>
    <xf numFmtId="10" fontId="6" fillId="0" borderId="0" xfId="6" applyNumberFormat="1" applyFont="1"/>
    <xf numFmtId="0" fontId="30" fillId="0" borderId="10" xfId="6" applyFont="1" applyFill="1" applyBorder="1" applyAlignment="1">
      <alignment horizontal="center"/>
    </xf>
    <xf numFmtId="187" fontId="6" fillId="0" borderId="0" xfId="6" applyNumberFormat="1" applyFont="1" applyBorder="1"/>
    <xf numFmtId="187" fontId="6" fillId="0" borderId="39" xfId="6" applyNumberFormat="1" applyFont="1" applyBorder="1"/>
    <xf numFmtId="0" fontId="30" fillId="0" borderId="0" xfId="6" applyFont="1" applyFill="1" applyBorder="1"/>
    <xf numFmtId="185" fontId="32" fillId="0" borderId="0" xfId="14" applyNumberFormat="1" applyFont="1" applyBorder="1"/>
    <xf numFmtId="185" fontId="6" fillId="0" borderId="39" xfId="6" applyNumberFormat="1" applyFont="1" applyBorder="1"/>
    <xf numFmtId="185" fontId="32" fillId="0" borderId="6" xfId="14" applyNumberFormat="1" applyFont="1" applyBorder="1"/>
    <xf numFmtId="185" fontId="32" fillId="0" borderId="9" xfId="14" applyNumberFormat="1" applyFont="1" applyBorder="1"/>
    <xf numFmtId="185" fontId="32" fillId="0" borderId="10" xfId="14" applyNumberFormat="1" applyFont="1" applyBorder="1"/>
    <xf numFmtId="0" fontId="30" fillId="0" borderId="28" xfId="6" applyFont="1" applyFill="1" applyBorder="1" applyAlignment="1">
      <alignment horizontal="center"/>
    </xf>
    <xf numFmtId="9" fontId="32" fillId="0" borderId="24" xfId="16" applyFont="1" applyBorder="1"/>
    <xf numFmtId="9" fontId="32" fillId="0" borderId="28" xfId="16" applyFont="1" applyBorder="1"/>
    <xf numFmtId="9" fontId="32" fillId="0" borderId="0" xfId="16" applyFont="1" applyBorder="1"/>
    <xf numFmtId="9" fontId="32" fillId="0" borderId="39" xfId="16" applyFont="1" applyBorder="1"/>
    <xf numFmtId="185" fontId="32" fillId="0" borderId="39" xfId="14" applyNumberFormat="1" applyFont="1" applyBorder="1"/>
    <xf numFmtId="9" fontId="32" fillId="0" borderId="9" xfId="16" applyFont="1" applyBorder="1"/>
    <xf numFmtId="9" fontId="32" fillId="0" borderId="10" xfId="16" applyFont="1" applyBorder="1"/>
    <xf numFmtId="49" fontId="28" fillId="0" borderId="8" xfId="6" applyNumberFormat="1" applyFont="1" applyBorder="1" applyAlignment="1">
      <alignment horizontal="center"/>
    </xf>
    <xf numFmtId="0" fontId="28" fillId="0" borderId="9" xfId="14" applyNumberFormat="1" applyFont="1" applyBorder="1" applyAlignment="1">
      <alignment horizontal="center"/>
    </xf>
    <xf numFmtId="0" fontId="28" fillId="0" borderId="10" xfId="14" applyNumberFormat="1" applyFont="1" applyFill="1" applyBorder="1" applyAlignment="1">
      <alignment horizontal="center"/>
    </xf>
    <xf numFmtId="0" fontId="27" fillId="0" borderId="30" xfId="6" applyFont="1" applyFill="1" applyBorder="1"/>
    <xf numFmtId="168" fontId="27" fillId="0" borderId="0" xfId="14" applyNumberFormat="1" applyFont="1" applyFill="1" applyBorder="1"/>
    <xf numFmtId="168" fontId="27" fillId="0" borderId="39" xfId="14" applyNumberFormat="1" applyFont="1" applyFill="1" applyBorder="1"/>
    <xf numFmtId="0" fontId="6" fillId="0" borderId="8" xfId="6" applyFont="1" applyBorder="1" applyAlignment="1">
      <alignment horizontal="center"/>
    </xf>
    <xf numFmtId="0" fontId="6" fillId="0" borderId="9" xfId="6" applyFont="1" applyBorder="1" applyAlignment="1">
      <alignment horizontal="center"/>
    </xf>
    <xf numFmtId="0" fontId="6" fillId="0" borderId="10" xfId="6" applyFont="1" applyBorder="1" applyAlignment="1">
      <alignment horizontal="center"/>
    </xf>
    <xf numFmtId="0" fontId="27" fillId="0" borderId="27" xfId="6" applyFont="1" applyFill="1" applyBorder="1"/>
    <xf numFmtId="168" fontId="27" fillId="0" borderId="6" xfId="14" applyNumberFormat="1" applyFont="1" applyFill="1" applyBorder="1"/>
    <xf numFmtId="0" fontId="6" fillId="0" borderId="6" xfId="6" applyFont="1" applyFill="1" applyBorder="1"/>
    <xf numFmtId="168" fontId="27" fillId="0" borderId="25" xfId="14" applyNumberFormat="1" applyFont="1" applyFill="1" applyBorder="1"/>
    <xf numFmtId="0" fontId="30" fillId="0" borderId="30" xfId="6" applyFont="1" applyFill="1" applyBorder="1"/>
    <xf numFmtId="0" fontId="27" fillId="0" borderId="59" xfId="6" applyFont="1" applyBorder="1"/>
    <xf numFmtId="9" fontId="32" fillId="0" borderId="6" xfId="16" applyFont="1" applyBorder="1"/>
    <xf numFmtId="9" fontId="32" fillId="0" borderId="25" xfId="16" applyFont="1" applyBorder="1"/>
    <xf numFmtId="0" fontId="30" fillId="0" borderId="27" xfId="6" applyFont="1" applyFill="1" applyBorder="1"/>
    <xf numFmtId="168" fontId="28" fillId="0" borderId="6" xfId="14" applyNumberFormat="1" applyFont="1" applyFill="1" applyBorder="1"/>
    <xf numFmtId="168" fontId="28" fillId="0" borderId="25" xfId="14" applyNumberFormat="1" applyFont="1" applyFill="1" applyBorder="1"/>
    <xf numFmtId="0" fontId="28" fillId="0" borderId="28" xfId="14" applyNumberFormat="1" applyFont="1" applyFill="1" applyBorder="1" applyAlignment="1">
      <alignment horizontal="center"/>
    </xf>
    <xf numFmtId="185" fontId="27" fillId="0" borderId="24" xfId="14" applyNumberFormat="1" applyFont="1" applyFill="1" applyBorder="1"/>
    <xf numFmtId="185" fontId="27" fillId="0" borderId="28" xfId="14" applyNumberFormat="1" applyFont="1" applyFill="1" applyBorder="1"/>
    <xf numFmtId="185" fontId="27" fillId="0" borderId="0" xfId="14" applyNumberFormat="1" applyFont="1" applyFill="1" applyBorder="1"/>
    <xf numFmtId="185" fontId="27" fillId="0" borderId="39" xfId="14" applyNumberFormat="1" applyFont="1" applyFill="1" applyBorder="1"/>
    <xf numFmtId="185" fontId="27" fillId="0" borderId="6" xfId="14" applyNumberFormat="1" applyFont="1" applyFill="1" applyBorder="1"/>
    <xf numFmtId="185" fontId="27" fillId="0" borderId="25" xfId="14" applyNumberFormat="1" applyFont="1" applyFill="1" applyBorder="1"/>
    <xf numFmtId="0" fontId="30" fillId="0" borderId="8" xfId="6" applyFont="1" applyFill="1" applyBorder="1"/>
    <xf numFmtId="168" fontId="28" fillId="0" borderId="9" xfId="14" applyNumberFormat="1" applyFont="1" applyFill="1" applyBorder="1"/>
    <xf numFmtId="0" fontId="6" fillId="0" borderId="9" xfId="6" applyFont="1" applyFill="1" applyBorder="1"/>
    <xf numFmtId="168" fontId="28" fillId="0" borderId="10" xfId="14" applyNumberFormat="1" applyFont="1" applyFill="1" applyBorder="1"/>
    <xf numFmtId="0" fontId="28" fillId="0" borderId="10" xfId="14" applyNumberFormat="1" applyFont="1" applyBorder="1" applyAlignment="1">
      <alignment horizontal="center"/>
    </xf>
    <xf numFmtId="9" fontId="27" fillId="0" borderId="0" xfId="16" applyFont="1" applyFill="1" applyBorder="1"/>
    <xf numFmtId="9" fontId="27" fillId="0" borderId="24" xfId="16" applyFont="1" applyFill="1" applyBorder="1"/>
    <xf numFmtId="9" fontId="27" fillId="0" borderId="28" xfId="16" applyFont="1" applyFill="1" applyBorder="1"/>
    <xf numFmtId="9" fontId="27" fillId="0" borderId="39" xfId="16" applyFont="1" applyFill="1" applyBorder="1"/>
    <xf numFmtId="9" fontId="27" fillId="0" borderId="6" xfId="16" applyFont="1" applyFill="1" applyBorder="1"/>
    <xf numFmtId="9" fontId="27" fillId="0" borderId="25" xfId="16" applyFont="1" applyFill="1" applyBorder="1"/>
    <xf numFmtId="167" fontId="6" fillId="0" borderId="0" xfId="6" applyNumberFormat="1" applyFont="1" applyBorder="1"/>
    <xf numFmtId="167" fontId="6" fillId="0" borderId="24" xfId="6" applyNumberFormat="1" applyFont="1" applyBorder="1"/>
    <xf numFmtId="167" fontId="6" fillId="0" borderId="28" xfId="6" applyNumberFormat="1" applyFont="1" applyBorder="1"/>
    <xf numFmtId="167" fontId="6" fillId="0" borderId="39" xfId="6" applyNumberFormat="1" applyFont="1" applyBorder="1"/>
    <xf numFmtId="0" fontId="55" fillId="0" borderId="0" xfId="6" applyFont="1" applyBorder="1" applyAlignment="1">
      <alignment horizontal="left" vertical="center"/>
    </xf>
    <xf numFmtId="0" fontId="60" fillId="0" borderId="0" xfId="6" applyFont="1" applyBorder="1" applyAlignment="1">
      <alignment vertical="center"/>
    </xf>
    <xf numFmtId="0" fontId="61" fillId="0" borderId="0" xfId="6" applyFont="1" applyBorder="1" applyAlignment="1">
      <alignment vertical="center"/>
    </xf>
    <xf numFmtId="0" fontId="61" fillId="0" borderId="0" xfId="6" applyFont="1" applyBorder="1" applyAlignment="1">
      <alignment horizontal="center" vertical="center"/>
    </xf>
    <xf numFmtId="0" fontId="62" fillId="0" borderId="0" xfId="6" applyFont="1" applyBorder="1" applyAlignment="1">
      <alignment horizontal="right" vertical="center"/>
    </xf>
    <xf numFmtId="0" fontId="62" fillId="0" borderId="24" xfId="6" applyFont="1" applyBorder="1" applyAlignment="1">
      <alignment horizontal="center" vertical="center" wrapText="1"/>
    </xf>
    <xf numFmtId="0" fontId="62" fillId="0" borderId="57" xfId="6" applyFont="1" applyBorder="1" applyAlignment="1">
      <alignment horizontal="right" vertical="center" wrapText="1"/>
    </xf>
    <xf numFmtId="0" fontId="62" fillId="0" borderId="6" xfId="6" applyFont="1" applyBorder="1" applyAlignment="1">
      <alignment horizontal="right" vertical="center" wrapText="1"/>
    </xf>
    <xf numFmtId="0" fontId="61" fillId="0" borderId="56" xfId="6" applyFont="1" applyBorder="1" applyAlignment="1">
      <alignment horizontal="center" vertical="center"/>
    </xf>
    <xf numFmtId="3" fontId="61" fillId="0" borderId="0" xfId="6" applyNumberFormat="1" applyFont="1" applyFill="1" applyBorder="1" applyAlignment="1">
      <alignment vertical="center"/>
    </xf>
    <xf numFmtId="0" fontId="61" fillId="0" borderId="0" xfId="6" applyFont="1" applyBorder="1" applyAlignment="1">
      <alignment horizontal="right" vertical="center"/>
    </xf>
    <xf numFmtId="2" fontId="61" fillId="0" borderId="0" xfId="6" applyNumberFormat="1" applyFont="1" applyBorder="1" applyAlignment="1">
      <alignment horizontal="right" vertical="center"/>
    </xf>
    <xf numFmtId="3" fontId="61" fillId="27" borderId="0" xfId="6" applyNumberFormat="1" applyFont="1" applyFill="1" applyBorder="1" applyAlignment="1">
      <alignment vertical="center"/>
    </xf>
    <xf numFmtId="0" fontId="61" fillId="0" borderId="58" xfId="6" applyFont="1" applyBorder="1" applyAlignment="1">
      <alignment horizontal="center" vertical="center"/>
    </xf>
    <xf numFmtId="0" fontId="61" fillId="0" borderId="6" xfId="6" applyFont="1" applyBorder="1" applyAlignment="1">
      <alignment vertical="center"/>
    </xf>
    <xf numFmtId="0" fontId="62" fillId="0" borderId="0" xfId="6" applyFont="1" applyBorder="1" applyAlignment="1">
      <alignment horizontal="center" vertical="center"/>
    </xf>
    <xf numFmtId="168" fontId="32" fillId="0" borderId="0" xfId="1" applyNumberFormat="1" applyFont="1" applyFill="1" applyBorder="1"/>
    <xf numFmtId="168" fontId="32" fillId="0" borderId="28" xfId="1" applyNumberFormat="1" applyFont="1" applyBorder="1"/>
    <xf numFmtId="168" fontId="32" fillId="0" borderId="9" xfId="1" applyNumberFormat="1" applyFont="1" applyBorder="1"/>
    <xf numFmtId="168" fontId="32" fillId="0" borderId="10" xfId="1" applyNumberFormat="1" applyFont="1" applyBorder="1"/>
    <xf numFmtId="9" fontId="32" fillId="0" borderId="10" xfId="0" applyNumberFormat="1" applyFont="1" applyBorder="1"/>
    <xf numFmtId="0" fontId="28" fillId="0" borderId="27"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7" xfId="0" applyFont="1" applyFill="1" applyBorder="1" applyAlignment="1">
      <alignment horizontal="center" vertical="center" wrapText="1"/>
    </xf>
    <xf numFmtId="168" fontId="28" fillId="0" borderId="0" xfId="1" applyNumberFormat="1" applyFont="1" applyFill="1" applyBorder="1" applyAlignment="1">
      <alignment horizontal="center" vertical="center" wrapText="1"/>
    </xf>
    <xf numFmtId="168" fontId="32" fillId="9" borderId="0" xfId="1" applyNumberFormat="1" applyFont="1" applyFill="1" applyBorder="1"/>
    <xf numFmtId="168" fontId="32" fillId="9" borderId="39" xfId="1" applyNumberFormat="1" applyFont="1" applyFill="1" applyBorder="1"/>
    <xf numFmtId="9" fontId="32" fillId="0" borderId="0" xfId="2" applyFont="1" applyBorder="1"/>
    <xf numFmtId="9" fontId="32" fillId="0" borderId="39" xfId="2" applyFont="1" applyBorder="1"/>
    <xf numFmtId="168" fontId="32" fillId="9" borderId="30" xfId="1" applyNumberFormat="1" applyFont="1" applyFill="1" applyBorder="1"/>
    <xf numFmtId="168" fontId="30" fillId="0" borderId="8" xfId="1" applyNumberFormat="1" applyFont="1" applyBorder="1"/>
    <xf numFmtId="168" fontId="30" fillId="0" borderId="9" xfId="1" applyNumberFormat="1" applyFont="1" applyBorder="1"/>
    <xf numFmtId="168" fontId="30" fillId="0" borderId="10" xfId="1" applyNumberFormat="1" applyFont="1" applyBorder="1"/>
    <xf numFmtId="168" fontId="28" fillId="0" borderId="10" xfId="1" applyNumberFormat="1" applyFont="1" applyBorder="1" applyAlignment="1">
      <alignment horizontal="center" vertical="center" wrapText="1"/>
    </xf>
    <xf numFmtId="168" fontId="28" fillId="0" borderId="7" xfId="1" applyNumberFormat="1" applyFont="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Border="1" applyAlignment="1">
      <alignment horizontal="center" vertical="center" wrapText="1"/>
    </xf>
    <xf numFmtId="0" fontId="28" fillId="0" borderId="7" xfId="0" applyFont="1" applyBorder="1" applyAlignment="1">
      <alignment horizontal="center" vertical="center" wrapText="1"/>
    </xf>
    <xf numFmtId="168" fontId="28" fillId="9" borderId="7" xfId="1" applyNumberFormat="1" applyFont="1" applyFill="1" applyBorder="1" applyAlignment="1">
      <alignment horizontal="center" vertical="center" wrapText="1"/>
    </xf>
    <xf numFmtId="0" fontId="32" fillId="0" borderId="26" xfId="0" applyFont="1" applyBorder="1"/>
    <xf numFmtId="168" fontId="28" fillId="0" borderId="8" xfId="1" applyNumberFormat="1" applyFont="1" applyBorder="1" applyAlignment="1">
      <alignment horizontal="center" vertical="center" wrapText="1"/>
    </xf>
    <xf numFmtId="0" fontId="28" fillId="0" borderId="10" xfId="0" applyFont="1" applyBorder="1" applyAlignment="1">
      <alignment horizontal="center" vertical="center" wrapText="1"/>
    </xf>
    <xf numFmtId="168" fontId="32" fillId="0" borderId="8" xfId="1" applyNumberFormat="1" applyFont="1" applyBorder="1"/>
    <xf numFmtId="0" fontId="30" fillId="0" borderId="8" xfId="0" applyFont="1" applyBorder="1" applyAlignment="1">
      <alignment horizontal="center"/>
    </xf>
    <xf numFmtId="0" fontId="32" fillId="9" borderId="31" xfId="0" applyFont="1" applyFill="1" applyBorder="1"/>
    <xf numFmtId="168" fontId="32" fillId="0" borderId="23" xfId="1" applyNumberFormat="1" applyFont="1" applyFill="1" applyBorder="1"/>
    <xf numFmtId="168" fontId="32" fillId="0" borderId="24" xfId="1" applyNumberFormat="1" applyFont="1" applyFill="1" applyBorder="1"/>
    <xf numFmtId="168" fontId="32" fillId="0" borderId="28" xfId="1" applyNumberFormat="1" applyFont="1" applyFill="1" applyBorder="1"/>
    <xf numFmtId="0" fontId="30" fillId="0" borderId="0" xfId="0" applyFont="1" applyBorder="1" applyAlignment="1"/>
    <xf numFmtId="9" fontId="32" fillId="0" borderId="28" xfId="0" applyNumberFormat="1" applyFont="1" applyBorder="1"/>
    <xf numFmtId="9" fontId="32" fillId="0" borderId="39" xfId="0" applyNumberFormat="1" applyFont="1" applyBorder="1"/>
    <xf numFmtId="9" fontId="32" fillId="0" borderId="30" xfId="2" applyNumberFormat="1" applyFont="1" applyFill="1" applyBorder="1"/>
    <xf numFmtId="9" fontId="32" fillId="0" borderId="0" xfId="2" applyNumberFormat="1" applyFont="1" applyFill="1" applyBorder="1"/>
    <xf numFmtId="9" fontId="32" fillId="0" borderId="39" xfId="2" applyNumberFormat="1" applyFont="1" applyFill="1" applyBorder="1"/>
    <xf numFmtId="3" fontId="30" fillId="0" borderId="8" xfId="0" applyNumberFormat="1" applyFont="1" applyBorder="1"/>
    <xf numFmtId="3" fontId="30" fillId="0" borderId="9" xfId="0" applyNumberFormat="1" applyFont="1" applyBorder="1"/>
    <xf numFmtId="3" fontId="30" fillId="0" borderId="10" xfId="0" applyNumberFormat="1" applyFont="1" applyBorder="1"/>
    <xf numFmtId="9" fontId="32" fillId="0" borderId="27" xfId="2" applyNumberFormat="1" applyFont="1" applyBorder="1"/>
    <xf numFmtId="9" fontId="32" fillId="0" borderId="6" xfId="2" applyNumberFormat="1" applyFont="1" applyBorder="1"/>
    <xf numFmtId="9" fontId="32" fillId="0" borderId="25" xfId="2" applyNumberFormat="1" applyFont="1" applyBorder="1"/>
    <xf numFmtId="9" fontId="32" fillId="0" borderId="25" xfId="0" applyNumberFormat="1" applyFont="1" applyBorder="1"/>
    <xf numFmtId="168" fontId="32" fillId="9" borderId="23" xfId="1" applyNumberFormat="1" applyFont="1" applyFill="1" applyBorder="1"/>
    <xf numFmtId="168" fontId="32" fillId="9" borderId="24" xfId="1" applyNumberFormat="1" applyFont="1" applyFill="1" applyBorder="1"/>
    <xf numFmtId="168" fontId="32" fillId="9" borderId="28" xfId="1" applyNumberFormat="1" applyFont="1" applyFill="1" applyBorder="1"/>
    <xf numFmtId="168" fontId="32" fillId="0" borderId="30" xfId="0" applyNumberFormat="1" applyFont="1" applyBorder="1"/>
    <xf numFmtId="168" fontId="32" fillId="0" borderId="0" xfId="0" applyNumberFormat="1" applyFont="1" applyBorder="1"/>
    <xf numFmtId="168" fontId="32" fillId="0" borderId="39" xfId="0" applyNumberFormat="1" applyFont="1" applyBorder="1"/>
    <xf numFmtId="168" fontId="32" fillId="2" borderId="30" xfId="1" applyNumberFormat="1" applyFont="1" applyFill="1" applyBorder="1"/>
    <xf numFmtId="168" fontId="32" fillId="2" borderId="39" xfId="1" applyNumberFormat="1" applyFont="1" applyFill="1" applyBorder="1"/>
    <xf numFmtId="0" fontId="30" fillId="7" borderId="27" xfId="0" applyFont="1" applyFill="1" applyBorder="1"/>
    <xf numFmtId="168" fontId="30" fillId="7" borderId="6" xfId="0" applyNumberFormat="1" applyFont="1" applyFill="1" applyBorder="1"/>
    <xf numFmtId="168" fontId="30" fillId="7" borderId="25" xfId="0" applyNumberFormat="1" applyFont="1" applyFill="1" applyBorder="1"/>
    <xf numFmtId="168" fontId="32" fillId="0" borderId="9" xfId="0" applyNumberFormat="1" applyFont="1" applyBorder="1"/>
    <xf numFmtId="168" fontId="32" fillId="0" borderId="0" xfId="2" applyNumberFormat="1" applyFont="1" applyFill="1" applyBorder="1"/>
    <xf numFmtId="9" fontId="32" fillId="0" borderId="0" xfId="2" applyFont="1" applyFill="1" applyBorder="1"/>
    <xf numFmtId="43" fontId="32" fillId="0" borderId="0" xfId="1" applyFont="1" applyFill="1" applyBorder="1"/>
    <xf numFmtId="168" fontId="32" fillId="2" borderId="27" xfId="1" applyNumberFormat="1" applyFont="1" applyFill="1" applyBorder="1"/>
    <xf numFmtId="9" fontId="30" fillId="0" borderId="6" xfId="2" applyFont="1" applyBorder="1"/>
    <xf numFmtId="9" fontId="30" fillId="0" borderId="25" xfId="2" applyFont="1" applyBorder="1"/>
    <xf numFmtId="43" fontId="32" fillId="0" borderId="0" xfId="0" applyNumberFormat="1" applyFont="1"/>
    <xf numFmtId="9" fontId="32" fillId="0" borderId="0" xfId="2" applyNumberFormat="1" applyFont="1"/>
    <xf numFmtId="0" fontId="32" fillId="0" borderId="0" xfId="0" applyFont="1" applyAlignment="1">
      <alignment horizontal="right"/>
    </xf>
    <xf numFmtId="0" fontId="64" fillId="0" borderId="0" xfId="0" applyFont="1" applyAlignment="1">
      <alignment horizontal="center"/>
    </xf>
    <xf numFmtId="0" fontId="65" fillId="0" borderId="18" xfId="0" applyFont="1" applyFill="1" applyBorder="1" applyAlignment="1">
      <alignment horizontal="center"/>
    </xf>
    <xf numFmtId="43" fontId="32" fillId="0" borderId="7" xfId="1" applyFont="1" applyBorder="1"/>
    <xf numFmtId="0" fontId="32" fillId="0" borderId="0" xfId="0" applyFont="1" applyFill="1" applyBorder="1" applyAlignment="1"/>
    <xf numFmtId="0" fontId="32" fillId="0" borderId="13" xfId="0" applyFont="1" applyFill="1" applyBorder="1" applyAlignment="1"/>
    <xf numFmtId="0" fontId="27" fillId="0" borderId="6" xfId="19" applyFont="1" applyBorder="1" applyAlignment="1">
      <alignment horizontal="center"/>
    </xf>
    <xf numFmtId="0" fontId="28" fillId="0" borderId="7" xfId="19" applyFont="1" applyBorder="1" applyAlignment="1">
      <alignment horizontal="center"/>
    </xf>
    <xf numFmtId="0" fontId="28" fillId="0" borderId="7" xfId="19" applyFont="1" applyBorder="1" applyAlignment="1">
      <alignment horizontal="left"/>
    </xf>
    <xf numFmtId="168" fontId="27" fillId="0" borderId="7" xfId="20" applyNumberFormat="1" applyFont="1" applyBorder="1"/>
    <xf numFmtId="0" fontId="6" fillId="0" borderId="0" xfId="19" applyFont="1" applyFill="1"/>
    <xf numFmtId="168" fontId="27" fillId="0" borderId="0" xfId="2" applyNumberFormat="1" applyFont="1"/>
    <xf numFmtId="9" fontId="27" fillId="2" borderId="0" xfId="2" applyFont="1" applyFill="1"/>
    <xf numFmtId="0" fontId="27" fillId="0" borderId="8" xfId="0" applyFont="1" applyBorder="1"/>
    <xf numFmtId="168" fontId="27" fillId="2" borderId="0" xfId="0" applyNumberFormat="1" applyFont="1" applyFill="1"/>
    <xf numFmtId="0" fontId="27" fillId="2" borderId="1" xfId="0" applyFont="1" applyFill="1" applyBorder="1"/>
    <xf numFmtId="10" fontId="28" fillId="2" borderId="2" xfId="2" applyNumberFormat="1" applyFont="1" applyFill="1" applyBorder="1" applyAlignment="1">
      <alignment horizontal="center"/>
    </xf>
    <xf numFmtId="10" fontId="28" fillId="2" borderId="3" xfId="2" applyNumberFormat="1" applyFont="1" applyFill="1" applyBorder="1" applyAlignment="1">
      <alignment horizontal="center"/>
    </xf>
    <xf numFmtId="0" fontId="27" fillId="17" borderId="12" xfId="0" applyFont="1" applyFill="1" applyBorder="1"/>
    <xf numFmtId="9" fontId="28" fillId="9" borderId="13" xfId="0" applyNumberFormat="1" applyFont="1" applyFill="1" applyBorder="1" applyAlignment="1">
      <alignment horizontal="center"/>
    </xf>
    <xf numFmtId="9" fontId="28" fillId="9" borderId="11" xfId="0" applyNumberFormat="1" applyFont="1" applyFill="1" applyBorder="1" applyAlignment="1">
      <alignment horizontal="center"/>
    </xf>
    <xf numFmtId="9" fontId="28" fillId="2" borderId="0" xfId="0" applyNumberFormat="1" applyFont="1" applyFill="1" applyAlignment="1">
      <alignment horizontal="center"/>
    </xf>
    <xf numFmtId="43" fontId="27" fillId="2" borderId="0" xfId="1" applyNumberFormat="1" applyFont="1" applyFill="1"/>
    <xf numFmtId="0" fontId="28" fillId="2" borderId="13" xfId="0" applyFont="1" applyFill="1" applyBorder="1" applyAlignment="1"/>
    <xf numFmtId="0" fontId="28" fillId="2" borderId="45" xfId="0" applyFont="1" applyFill="1" applyBorder="1"/>
    <xf numFmtId="169" fontId="28" fillId="2" borderId="18" xfId="2" applyNumberFormat="1" applyFont="1" applyFill="1" applyBorder="1" applyAlignment="1">
      <alignment horizontal="center"/>
    </xf>
    <xf numFmtId="169" fontId="28" fillId="2" borderId="46" xfId="2" applyNumberFormat="1" applyFont="1" applyFill="1" applyBorder="1" applyAlignment="1">
      <alignment horizontal="center"/>
    </xf>
    <xf numFmtId="9" fontId="27" fillId="2" borderId="0" xfId="0" applyNumberFormat="1" applyFont="1" applyFill="1"/>
    <xf numFmtId="0" fontId="27" fillId="17" borderId="4" xfId="0" applyFont="1" applyFill="1" applyBorder="1"/>
    <xf numFmtId="176" fontId="27" fillId="9" borderId="24" xfId="1" applyNumberFormat="1" applyFont="1" applyFill="1" applyBorder="1"/>
    <xf numFmtId="176" fontId="27" fillId="9" borderId="74" xfId="1" applyNumberFormat="1" applyFont="1" applyFill="1" applyBorder="1"/>
    <xf numFmtId="168" fontId="27" fillId="2" borderId="0" xfId="1" applyNumberFormat="1" applyFont="1" applyFill="1"/>
    <xf numFmtId="176" fontId="27" fillId="9" borderId="0" xfId="1" applyNumberFormat="1" applyFont="1" applyFill="1" applyBorder="1"/>
    <xf numFmtId="176" fontId="27" fillId="9" borderId="5" xfId="1" applyNumberFormat="1" applyFont="1" applyFill="1" applyBorder="1"/>
    <xf numFmtId="0" fontId="27" fillId="2" borderId="4" xfId="0" applyFont="1" applyFill="1" applyBorder="1"/>
    <xf numFmtId="176" fontId="27" fillId="2" borderId="0" xfId="0" applyNumberFormat="1" applyFont="1" applyFill="1" applyBorder="1"/>
    <xf numFmtId="176" fontId="27" fillId="2" borderId="5" xfId="0" applyNumberFormat="1" applyFont="1" applyFill="1" applyBorder="1"/>
    <xf numFmtId="168" fontId="27" fillId="2" borderId="0" xfId="0" applyNumberFormat="1" applyFont="1" applyFill="1" applyBorder="1"/>
    <xf numFmtId="0" fontId="27" fillId="2" borderId="12" xfId="0" applyFont="1" applyFill="1" applyBorder="1"/>
    <xf numFmtId="176" fontId="27" fillId="2" borderId="13" xfId="0" applyNumberFormat="1" applyFont="1" applyFill="1" applyBorder="1"/>
    <xf numFmtId="176" fontId="27" fillId="2" borderId="11" xfId="0" applyNumberFormat="1" applyFont="1" applyFill="1" applyBorder="1"/>
    <xf numFmtId="0" fontId="28" fillId="17" borderId="1" xfId="0" applyFont="1" applyFill="1" applyBorder="1"/>
    <xf numFmtId="0" fontId="28" fillId="17" borderId="12" xfId="0" applyFont="1" applyFill="1" applyBorder="1"/>
    <xf numFmtId="9" fontId="28" fillId="0" borderId="0" xfId="0" applyNumberFormat="1" applyFont="1"/>
    <xf numFmtId="10" fontId="28" fillId="0" borderId="0" xfId="0" applyNumberFormat="1" applyFont="1"/>
    <xf numFmtId="0" fontId="66" fillId="2" borderId="1" xfId="0" applyFont="1" applyFill="1" applyBorder="1"/>
    <xf numFmtId="0" fontId="66" fillId="17" borderId="1" xfId="0" applyFont="1" applyFill="1" applyBorder="1"/>
    <xf numFmtId="9" fontId="27" fillId="2" borderId="2" xfId="2" applyFont="1" applyFill="1" applyBorder="1"/>
    <xf numFmtId="9" fontId="27" fillId="2" borderId="3" xfId="2" applyFont="1" applyFill="1" applyBorder="1"/>
    <xf numFmtId="10" fontId="27" fillId="2" borderId="5" xfId="2" applyNumberFormat="1" applyFont="1" applyFill="1" applyBorder="1"/>
    <xf numFmtId="0" fontId="28" fillId="2" borderId="12" xfId="0" applyFont="1" applyFill="1" applyBorder="1"/>
    <xf numFmtId="10" fontId="27" fillId="2" borderId="13" xfId="2" applyNumberFormat="1" applyFont="1" applyFill="1" applyBorder="1"/>
    <xf numFmtId="10" fontId="27" fillId="2" borderId="11" xfId="2" applyNumberFormat="1" applyFont="1" applyFill="1" applyBorder="1"/>
    <xf numFmtId="10" fontId="27" fillId="2" borderId="0" xfId="2" applyNumberFormat="1" applyFont="1" applyFill="1"/>
    <xf numFmtId="0" fontId="27" fillId="17" borderId="1" xfId="0" applyFont="1" applyFill="1" applyBorder="1"/>
    <xf numFmtId="43" fontId="27" fillId="2" borderId="0" xfId="1" applyNumberFormat="1" applyFont="1" applyFill="1" applyBorder="1"/>
    <xf numFmtId="43" fontId="27" fillId="2" borderId="5" xfId="1" applyNumberFormat="1" applyFont="1" applyFill="1" applyBorder="1"/>
    <xf numFmtId="0" fontId="28" fillId="2" borderId="4" xfId="0" applyFont="1" applyFill="1" applyBorder="1"/>
    <xf numFmtId="168" fontId="27" fillId="2" borderId="5" xfId="1" applyNumberFormat="1" applyFont="1" applyFill="1" applyBorder="1"/>
    <xf numFmtId="43" fontId="27" fillId="2" borderId="5" xfId="1" applyFont="1" applyFill="1" applyBorder="1"/>
    <xf numFmtId="10" fontId="27" fillId="2" borderId="2" xfId="2" applyNumberFormat="1" applyFont="1" applyFill="1" applyBorder="1"/>
    <xf numFmtId="10" fontId="27" fillId="2" borderId="3" xfId="2" applyNumberFormat="1" applyFont="1" applyFill="1" applyBorder="1"/>
    <xf numFmtId="0" fontId="27" fillId="0" borderId="4" xfId="0" applyFont="1" applyBorder="1"/>
    <xf numFmtId="168" fontId="27" fillId="9" borderId="2" xfId="1" applyNumberFormat="1" applyFont="1" applyFill="1" applyBorder="1" applyAlignment="1">
      <alignment horizontal="center"/>
    </xf>
    <xf numFmtId="168" fontId="27" fillId="9" borderId="3" xfId="1" applyNumberFormat="1" applyFont="1" applyFill="1" applyBorder="1" applyAlignment="1">
      <alignment horizontal="center"/>
    </xf>
    <xf numFmtId="188" fontId="27" fillId="9" borderId="0" xfId="1" applyNumberFormat="1" applyFont="1" applyFill="1" applyBorder="1"/>
    <xf numFmtId="188" fontId="27" fillId="9" borderId="5" xfId="1" applyNumberFormat="1" applyFont="1" applyFill="1" applyBorder="1"/>
    <xf numFmtId="189" fontId="27" fillId="2" borderId="2" xfId="1" applyNumberFormat="1" applyFont="1" applyFill="1" applyBorder="1"/>
    <xf numFmtId="189" fontId="27" fillId="2" borderId="3" xfId="1" applyNumberFormat="1" applyFont="1" applyFill="1" applyBorder="1"/>
    <xf numFmtId="189" fontId="27" fillId="2" borderId="0" xfId="0" applyNumberFormat="1" applyFont="1" applyFill="1" applyBorder="1"/>
    <xf numFmtId="189" fontId="27" fillId="2" borderId="5" xfId="0" applyNumberFormat="1" applyFont="1" applyFill="1" applyBorder="1"/>
    <xf numFmtId="189" fontId="27" fillId="2" borderId="13" xfId="0" applyNumberFormat="1" applyFont="1" applyFill="1" applyBorder="1"/>
    <xf numFmtId="189" fontId="27" fillId="2" borderId="11" xfId="0" applyNumberFormat="1" applyFont="1" applyFill="1" applyBorder="1"/>
    <xf numFmtId="189" fontId="27" fillId="9" borderId="2" xfId="1" applyNumberFormat="1" applyFont="1" applyFill="1" applyBorder="1"/>
    <xf numFmtId="189" fontId="27" fillId="9" borderId="3" xfId="1" applyNumberFormat="1" applyFont="1" applyFill="1" applyBorder="1"/>
    <xf numFmtId="189" fontId="27" fillId="9" borderId="0" xfId="1" applyNumberFormat="1" applyFont="1" applyFill="1" applyBorder="1"/>
    <xf numFmtId="189" fontId="27" fillId="9" borderId="5" xfId="1" applyNumberFormat="1" applyFont="1" applyFill="1" applyBorder="1"/>
    <xf numFmtId="189" fontId="27" fillId="2" borderId="13" xfId="1" applyNumberFormat="1" applyFont="1" applyFill="1" applyBorder="1"/>
    <xf numFmtId="189" fontId="27" fillId="2" borderId="11" xfId="1" applyNumberFormat="1" applyFont="1" applyFill="1" applyBorder="1"/>
    <xf numFmtId="177" fontId="27" fillId="2" borderId="0" xfId="1" applyNumberFormat="1" applyFont="1" applyFill="1" applyBorder="1"/>
    <xf numFmtId="177" fontId="27" fillId="2" borderId="5" xfId="1" applyNumberFormat="1" applyFont="1" applyFill="1" applyBorder="1"/>
    <xf numFmtId="176" fontId="27" fillId="2" borderId="0" xfId="1" applyNumberFormat="1" applyFont="1" applyFill="1" applyBorder="1"/>
    <xf numFmtId="176" fontId="27" fillId="2" borderId="5" xfId="1" applyNumberFormat="1" applyFont="1" applyFill="1" applyBorder="1"/>
    <xf numFmtId="188" fontId="27" fillId="2" borderId="2" xfId="1" applyNumberFormat="1" applyFont="1" applyFill="1" applyBorder="1"/>
    <xf numFmtId="188" fontId="27" fillId="2" borderId="3" xfId="1" applyNumberFormat="1" applyFont="1" applyFill="1" applyBorder="1"/>
    <xf numFmtId="188" fontId="27" fillId="2" borderId="0" xfId="0" applyNumberFormat="1" applyFont="1" applyFill="1"/>
    <xf numFmtId="168" fontId="27" fillId="2" borderId="13" xfId="1" applyNumberFormat="1" applyFont="1" applyFill="1" applyBorder="1"/>
    <xf numFmtId="168" fontId="27" fillId="2" borderId="11" xfId="1" applyNumberFormat="1" applyFont="1" applyFill="1" applyBorder="1"/>
    <xf numFmtId="189" fontId="27" fillId="0" borderId="0" xfId="1" applyNumberFormat="1" applyFont="1" applyBorder="1"/>
    <xf numFmtId="189" fontId="27" fillId="0" borderId="5" xfId="1" applyNumberFormat="1" applyFont="1" applyBorder="1"/>
    <xf numFmtId="189" fontId="28" fillId="2" borderId="13" xfId="0" applyNumberFormat="1" applyFont="1" applyFill="1" applyBorder="1"/>
    <xf numFmtId="189" fontId="28" fillId="2" borderId="11" xfId="0" applyNumberFormat="1" applyFont="1" applyFill="1" applyBorder="1"/>
    <xf numFmtId="10" fontId="27" fillId="26" borderId="2" xfId="2" applyNumberFormat="1" applyFont="1" applyFill="1" applyBorder="1"/>
    <xf numFmtId="10" fontId="32" fillId="2" borderId="0" xfId="0" applyNumberFormat="1" applyFont="1" applyFill="1"/>
    <xf numFmtId="0" fontId="30" fillId="2" borderId="0" xfId="0" applyFont="1" applyFill="1" applyBorder="1" applyAlignment="1">
      <alignment horizontal="justify" wrapText="1"/>
    </xf>
    <xf numFmtId="168" fontId="27" fillId="9" borderId="25" xfId="1" applyNumberFormat="1" applyFont="1" applyFill="1" applyBorder="1"/>
    <xf numFmtId="0" fontId="28" fillId="2" borderId="6" xfId="0" applyFont="1" applyFill="1" applyBorder="1" applyAlignment="1">
      <alignment horizontal="center"/>
    </xf>
    <xf numFmtId="9" fontId="27" fillId="2" borderId="0" xfId="2" applyFont="1" applyFill="1" applyBorder="1"/>
    <xf numFmtId="9" fontId="32" fillId="2" borderId="0" xfId="0" applyNumberFormat="1" applyFont="1" applyFill="1"/>
    <xf numFmtId="191" fontId="32" fillId="2" borderId="0" xfId="0" applyNumberFormat="1" applyFont="1" applyFill="1"/>
    <xf numFmtId="166" fontId="32" fillId="2" borderId="0" xfId="0" applyNumberFormat="1" applyFont="1" applyFill="1"/>
    <xf numFmtId="0" fontId="0" fillId="0" borderId="0" xfId="0" applyBorder="1"/>
    <xf numFmtId="0" fontId="68" fillId="0" borderId="0" xfId="0" applyFont="1"/>
    <xf numFmtId="0" fontId="0" fillId="0" borderId="29" xfId="0" applyBorder="1"/>
    <xf numFmtId="0" fontId="0" fillId="0" borderId="30" xfId="0" applyBorder="1"/>
    <xf numFmtId="0" fontId="0" fillId="0" borderId="26" xfId="0" applyBorder="1"/>
    <xf numFmtId="0" fontId="67" fillId="0" borderId="27" xfId="0" applyFont="1" applyBorder="1" applyAlignment="1">
      <alignment horizontal="center"/>
    </xf>
    <xf numFmtId="0" fontId="67" fillId="0" borderId="9" xfId="0" applyFont="1" applyBorder="1" applyAlignment="1">
      <alignment horizontal="center"/>
    </xf>
    <xf numFmtId="0" fontId="67" fillId="0" borderId="10" xfId="0" applyFont="1" applyBorder="1" applyAlignment="1">
      <alignment horizontal="center"/>
    </xf>
    <xf numFmtId="0" fontId="67" fillId="0" borderId="6" xfId="0" applyFont="1" applyBorder="1" applyAlignment="1">
      <alignment horizontal="center"/>
    </xf>
    <xf numFmtId="0" fontId="67" fillId="0" borderId="25" xfId="0" applyFont="1" applyBorder="1" applyAlignment="1">
      <alignment horizontal="center"/>
    </xf>
    <xf numFmtId="0" fontId="0" fillId="0" borderId="31" xfId="0" applyBorder="1"/>
    <xf numFmtId="187" fontId="0" fillId="0" borderId="30" xfId="21" applyNumberFormat="1" applyFont="1" applyBorder="1"/>
    <xf numFmtId="187" fontId="0" fillId="0" borderId="0" xfId="21" applyNumberFormat="1" applyFont="1" applyBorder="1"/>
    <xf numFmtId="187" fontId="0" fillId="0" borderId="39" xfId="21" applyNumberFormat="1" applyFont="1" applyBorder="1"/>
    <xf numFmtId="167" fontId="0" fillId="0" borderId="30" xfId="0" applyNumberFormat="1" applyBorder="1"/>
    <xf numFmtId="167" fontId="0" fillId="0" borderId="0" xfId="0" applyNumberFormat="1" applyBorder="1"/>
    <xf numFmtId="167" fontId="0" fillId="0" borderId="39" xfId="21" applyFont="1" applyBorder="1"/>
    <xf numFmtId="187" fontId="0" fillId="0" borderId="39" xfId="0" applyNumberFormat="1" applyBorder="1"/>
    <xf numFmtId="9" fontId="0" fillId="0" borderId="30" xfId="2" applyFont="1" applyBorder="1"/>
    <xf numFmtId="9" fontId="0" fillId="0" borderId="0" xfId="2" applyFont="1" applyBorder="1"/>
    <xf numFmtId="9" fontId="0" fillId="0" borderId="0" xfId="2" applyFont="1"/>
    <xf numFmtId="187" fontId="0" fillId="0" borderId="27" xfId="21" applyNumberFormat="1" applyFont="1" applyBorder="1"/>
    <xf numFmtId="187" fontId="0" fillId="0" borderId="6" xfId="21" applyNumberFormat="1" applyFont="1" applyBorder="1"/>
    <xf numFmtId="187" fontId="0" fillId="0" borderId="25" xfId="21" applyNumberFormat="1" applyFont="1" applyBorder="1"/>
    <xf numFmtId="167" fontId="0" fillId="0" borderId="27" xfId="0" applyNumberFormat="1" applyBorder="1"/>
    <xf numFmtId="167" fontId="0" fillId="0" borderId="6" xfId="0" applyNumberFormat="1" applyBorder="1"/>
    <xf numFmtId="167" fontId="0" fillId="0" borderId="25" xfId="21" applyFont="1" applyBorder="1"/>
    <xf numFmtId="187" fontId="0" fillId="0" borderId="25" xfId="0" applyNumberFormat="1" applyBorder="1"/>
    <xf numFmtId="0" fontId="0" fillId="0" borderId="26" xfId="0" applyFill="1" applyBorder="1"/>
    <xf numFmtId="167" fontId="0" fillId="0" borderId="8" xfId="0" applyNumberFormat="1" applyBorder="1"/>
    <xf numFmtId="167" fontId="0" fillId="0" borderId="9" xfId="0" applyNumberFormat="1" applyBorder="1"/>
    <xf numFmtId="187" fontId="0" fillId="0" borderId="8" xfId="21" applyNumberFormat="1" applyFont="1" applyBorder="1"/>
    <xf numFmtId="187" fontId="0" fillId="0" borderId="9" xfId="21" applyNumberFormat="1" applyFont="1" applyBorder="1"/>
    <xf numFmtId="167" fontId="0" fillId="0" borderId="0" xfId="21" applyFont="1"/>
    <xf numFmtId="167" fontId="67" fillId="0" borderId="0" xfId="21" applyFont="1"/>
    <xf numFmtId="9" fontId="67" fillId="7" borderId="0" xfId="2" applyFont="1" applyFill="1" applyBorder="1"/>
    <xf numFmtId="167" fontId="0" fillId="0" borderId="0" xfId="21" applyNumberFormat="1" applyFont="1" applyBorder="1"/>
    <xf numFmtId="187" fontId="0" fillId="0" borderId="0" xfId="0" applyNumberFormat="1"/>
    <xf numFmtId="167" fontId="0" fillId="0" borderId="0" xfId="0" applyNumberFormat="1"/>
    <xf numFmtId="0" fontId="0" fillId="0" borderId="0" xfId="0" applyNumberFormat="1"/>
    <xf numFmtId="9" fontId="0" fillId="0" borderId="23" xfId="2" applyFont="1" applyBorder="1"/>
    <xf numFmtId="9" fontId="0" fillId="0" borderId="24" xfId="2" applyFont="1" applyBorder="1"/>
    <xf numFmtId="9" fontId="0" fillId="0" borderId="28" xfId="0" applyNumberFormat="1" applyBorder="1"/>
    <xf numFmtId="9" fontId="0" fillId="0" borderId="39" xfId="0" applyNumberFormat="1" applyBorder="1"/>
    <xf numFmtId="9" fontId="0" fillId="0" borderId="27" xfId="2" applyFont="1" applyBorder="1"/>
    <xf numFmtId="9" fontId="0" fillId="0" borderId="6" xfId="2" applyFont="1" applyBorder="1"/>
    <xf numFmtId="9" fontId="0" fillId="0" borderId="25" xfId="0" applyNumberFormat="1" applyBorder="1"/>
    <xf numFmtId="9" fontId="0" fillId="0" borderId="8" xfId="2" applyFont="1" applyBorder="1"/>
    <xf numFmtId="9" fontId="0" fillId="0" borderId="9" xfId="2" applyFont="1" applyBorder="1"/>
    <xf numFmtId="9" fontId="0" fillId="0" borderId="10" xfId="0" applyNumberFormat="1" applyBorder="1"/>
    <xf numFmtId="0" fontId="0" fillId="0" borderId="10" xfId="0" applyBorder="1"/>
    <xf numFmtId="0" fontId="0" fillId="0" borderId="24" xfId="0" applyBorder="1"/>
    <xf numFmtId="9" fontId="0" fillId="0" borderId="24" xfId="2" applyFont="1" applyFill="1" applyBorder="1"/>
    <xf numFmtId="0" fontId="69" fillId="0" borderId="0" xfId="0" applyFont="1"/>
    <xf numFmtId="0" fontId="67" fillId="0" borderId="6" xfId="0" applyFont="1" applyFill="1" applyBorder="1" applyAlignment="1">
      <alignment horizontal="center"/>
    </xf>
    <xf numFmtId="0" fontId="67" fillId="0" borderId="6" xfId="0" applyFont="1" applyBorder="1"/>
    <xf numFmtId="14" fontId="0" fillId="0" borderId="0" xfId="0" applyNumberFormat="1"/>
    <xf numFmtId="167" fontId="0" fillId="0" borderId="0" xfId="21" applyFont="1" applyFill="1"/>
    <xf numFmtId="0" fontId="67" fillId="0" borderId="0" xfId="0" applyFont="1" applyBorder="1" applyAlignment="1">
      <alignment horizontal="left"/>
    </xf>
    <xf numFmtId="0" fontId="67" fillId="0" borderId="6" xfId="0" applyFont="1" applyBorder="1" applyAlignment="1">
      <alignment horizontal="left"/>
    </xf>
    <xf numFmtId="187" fontId="0" fillId="0" borderId="6" xfId="0" applyNumberFormat="1" applyBorder="1"/>
    <xf numFmtId="14" fontId="0" fillId="0" borderId="6" xfId="0" applyNumberFormat="1" applyBorder="1"/>
    <xf numFmtId="167" fontId="0" fillId="0" borderId="6" xfId="21" applyFont="1" applyFill="1" applyBorder="1"/>
    <xf numFmtId="0" fontId="67" fillId="0" borderId="0" xfId="0" applyFont="1" applyBorder="1"/>
    <xf numFmtId="0" fontId="0" fillId="0" borderId="6" xfId="0" applyBorder="1"/>
    <xf numFmtId="0" fontId="67" fillId="0" borderId="0" xfId="0" applyFont="1" applyFill="1" applyBorder="1" applyAlignment="1">
      <alignment horizontal="left"/>
    </xf>
    <xf numFmtId="3" fontId="0" fillId="0" borderId="0" xfId="0" applyNumberFormat="1"/>
    <xf numFmtId="187" fontId="0" fillId="0" borderId="0" xfId="21" applyNumberFormat="1" applyFont="1"/>
    <xf numFmtId="0" fontId="67" fillId="0" borderId="6" xfId="0" applyFont="1" applyFill="1" applyBorder="1" applyAlignment="1">
      <alignment horizontal="left"/>
    </xf>
    <xf numFmtId="3" fontId="0" fillId="0" borderId="6" xfId="0" applyNumberFormat="1" applyBorder="1"/>
    <xf numFmtId="14" fontId="0" fillId="0" borderId="0" xfId="0" applyNumberFormat="1" applyBorder="1"/>
    <xf numFmtId="167" fontId="0" fillId="0" borderId="0" xfId="21" applyFont="1" applyFill="1" applyBorder="1"/>
    <xf numFmtId="0" fontId="67" fillId="0" borderId="0" xfId="0" applyFont="1" applyBorder="1" applyAlignment="1">
      <alignment horizontal="center"/>
    </xf>
    <xf numFmtId="167" fontId="1" fillId="0" borderId="0" xfId="21" applyFont="1" applyFill="1" applyBorder="1"/>
    <xf numFmtId="0" fontId="67" fillId="0" borderId="24" xfId="0" applyFont="1" applyBorder="1" applyAlignment="1">
      <alignment horizontal="left"/>
    </xf>
    <xf numFmtId="187" fontId="1" fillId="0" borderId="0" xfId="21" applyNumberFormat="1" applyFont="1" applyFill="1" applyBorder="1"/>
    <xf numFmtId="187" fontId="1" fillId="0" borderId="6" xfId="21" applyNumberFormat="1" applyFont="1" applyFill="1" applyBorder="1"/>
    <xf numFmtId="167" fontId="1" fillId="0" borderId="6" xfId="21" applyFont="1" applyFill="1" applyBorder="1"/>
    <xf numFmtId="0" fontId="67" fillId="0" borderId="0" xfId="0" applyFont="1" applyAlignment="1">
      <alignment horizontal="left"/>
    </xf>
    <xf numFmtId="189" fontId="28" fillId="3" borderId="13" xfId="0" applyNumberFormat="1" applyFont="1" applyFill="1" applyBorder="1"/>
    <xf numFmtId="10" fontId="28" fillId="9" borderId="2" xfId="0" applyNumberFormat="1" applyFont="1" applyFill="1" applyBorder="1"/>
    <xf numFmtId="10" fontId="28" fillId="9" borderId="3" xfId="0" applyNumberFormat="1" applyFont="1" applyFill="1" applyBorder="1"/>
    <xf numFmtId="10" fontId="28" fillId="9" borderId="13" xfId="0" applyNumberFormat="1" applyFont="1" applyFill="1" applyBorder="1"/>
    <xf numFmtId="10" fontId="28" fillId="9" borderId="11" xfId="0" applyNumberFormat="1" applyFont="1" applyFill="1" applyBorder="1"/>
    <xf numFmtId="169" fontId="28" fillId="3" borderId="18" xfId="2" applyNumberFormat="1" applyFont="1" applyFill="1" applyBorder="1" applyAlignment="1">
      <alignment horizontal="center"/>
    </xf>
    <xf numFmtId="43" fontId="32" fillId="2" borderId="0" xfId="0" applyNumberFormat="1" applyFont="1" applyFill="1" applyBorder="1"/>
    <xf numFmtId="0" fontId="30" fillId="7" borderId="73" xfId="0" applyFont="1" applyFill="1" applyBorder="1"/>
    <xf numFmtId="168" fontId="30" fillId="7" borderId="6" xfId="1" applyNumberFormat="1" applyFont="1" applyFill="1" applyBorder="1" applyAlignment="1">
      <alignment horizontal="center"/>
    </xf>
    <xf numFmtId="188" fontId="30" fillId="0" borderId="0" xfId="1" applyNumberFormat="1" applyFont="1" applyFill="1" applyBorder="1"/>
    <xf numFmtId="10" fontId="30" fillId="0" borderId="0" xfId="2" applyNumberFormat="1" applyFont="1" applyFill="1" applyBorder="1"/>
    <xf numFmtId="0" fontId="29" fillId="2" borderId="0" xfId="0" applyFont="1" applyFill="1" applyAlignment="1">
      <alignment horizontal="center" wrapText="1"/>
    </xf>
    <xf numFmtId="0" fontId="29" fillId="2" borderId="6" xfId="0" applyFont="1" applyFill="1" applyBorder="1" applyAlignment="1">
      <alignment horizontal="center" wrapText="1"/>
    </xf>
    <xf numFmtId="9" fontId="32" fillId="2" borderId="5" xfId="2" applyFont="1" applyFill="1" applyBorder="1"/>
    <xf numFmtId="0" fontId="32" fillId="0" borderId="13" xfId="0" applyFont="1" applyBorder="1"/>
    <xf numFmtId="9" fontId="32" fillId="2" borderId="6" xfId="2" applyFont="1" applyFill="1" applyBorder="1"/>
    <xf numFmtId="9" fontId="30" fillId="7" borderId="6" xfId="2" applyFont="1" applyFill="1" applyBorder="1"/>
    <xf numFmtId="43" fontId="30" fillId="7" borderId="6" xfId="1" applyFont="1" applyFill="1" applyBorder="1"/>
    <xf numFmtId="43" fontId="28" fillId="2" borderId="6" xfId="1" applyFont="1" applyFill="1" applyBorder="1" applyAlignment="1">
      <alignment horizontal="center" wrapText="1"/>
    </xf>
    <xf numFmtId="0" fontId="28" fillId="2" borderId="6" xfId="0" applyFont="1" applyFill="1" applyBorder="1" applyAlignment="1">
      <alignment horizontal="center" wrapText="1"/>
    </xf>
    <xf numFmtId="0" fontId="28" fillId="2" borderId="75" xfId="0" applyFont="1" applyFill="1" applyBorder="1" applyAlignment="1">
      <alignment horizontal="center" wrapText="1"/>
    </xf>
    <xf numFmtId="9" fontId="32" fillId="2" borderId="0" xfId="2" applyNumberFormat="1" applyFont="1" applyFill="1" applyBorder="1"/>
    <xf numFmtId="0" fontId="55" fillId="0" borderId="0" xfId="6" applyFont="1"/>
    <xf numFmtId="0" fontId="30" fillId="2" borderId="0" xfId="0" applyFont="1" applyFill="1" applyAlignment="1"/>
    <xf numFmtId="168" fontId="32" fillId="2" borderId="73" xfId="0" applyNumberFormat="1" applyFont="1" applyFill="1" applyBorder="1" applyAlignment="1"/>
    <xf numFmtId="168" fontId="32" fillId="0" borderId="13" xfId="1" applyNumberFormat="1" applyFont="1" applyBorder="1"/>
    <xf numFmtId="0" fontId="32" fillId="0" borderId="11" xfId="0" applyFont="1" applyBorder="1"/>
    <xf numFmtId="0" fontId="30" fillId="2" borderId="73" xfId="0" applyFont="1" applyFill="1" applyBorder="1"/>
    <xf numFmtId="168" fontId="30" fillId="2" borderId="6" xfId="1" applyNumberFormat="1" applyFont="1" applyFill="1" applyBorder="1" applyAlignment="1">
      <alignment horizontal="center"/>
    </xf>
    <xf numFmtId="188" fontId="32" fillId="0" borderId="75" xfId="0" applyNumberFormat="1" applyFont="1" applyBorder="1"/>
    <xf numFmtId="168" fontId="30" fillId="0" borderId="6" xfId="1" applyNumberFormat="1" applyFont="1" applyBorder="1"/>
    <xf numFmtId="9" fontId="0" fillId="0" borderId="28" xfId="2" applyFont="1" applyBorder="1"/>
    <xf numFmtId="177" fontId="32" fillId="2" borderId="0" xfId="0" applyNumberFormat="1" applyFont="1" applyFill="1"/>
    <xf numFmtId="0" fontId="49" fillId="0" borderId="7" xfId="0" applyFont="1" applyBorder="1" applyAlignment="1">
      <alignment wrapText="1"/>
    </xf>
    <xf numFmtId="0" fontId="49" fillId="0" borderId="10" xfId="0" applyFont="1" applyBorder="1" applyAlignment="1">
      <alignment horizontal="center" wrapText="1"/>
    </xf>
    <xf numFmtId="2" fontId="49" fillId="0" borderId="10" xfId="0" applyNumberFormat="1" applyFont="1" applyBorder="1" applyAlignment="1">
      <alignment horizontal="center" wrapText="1"/>
    </xf>
    <xf numFmtId="0" fontId="39" fillId="32" borderId="16" xfId="0" applyFont="1" applyFill="1" applyBorder="1"/>
    <xf numFmtId="0" fontId="39" fillId="32" borderId="20" xfId="0" applyFont="1" applyFill="1" applyBorder="1"/>
    <xf numFmtId="0" fontId="39" fillId="32" borderId="34" xfId="0" applyFont="1" applyFill="1" applyBorder="1"/>
    <xf numFmtId="0" fontId="12" fillId="3" borderId="26" xfId="0" applyFont="1" applyFill="1" applyBorder="1"/>
    <xf numFmtId="0" fontId="12" fillId="3" borderId="25" xfId="0" applyFont="1" applyFill="1" applyBorder="1" applyAlignment="1">
      <alignment horizontal="center"/>
    </xf>
    <xf numFmtId="2" fontId="12" fillId="3" borderId="25" xfId="0" applyNumberFormat="1" applyFont="1" applyFill="1" applyBorder="1" applyAlignment="1">
      <alignment horizontal="center"/>
    </xf>
    <xf numFmtId="10" fontId="12" fillId="3" borderId="25" xfId="0" applyNumberFormat="1" applyFont="1" applyFill="1" applyBorder="1" applyAlignment="1">
      <alignment horizontal="center"/>
    </xf>
    <xf numFmtId="170" fontId="12" fillId="3" borderId="25" xfId="0" applyNumberFormat="1" applyFont="1" applyFill="1" applyBorder="1" applyAlignment="1">
      <alignment horizontal="center"/>
    </xf>
    <xf numFmtId="0" fontId="44" fillId="32" borderId="16" xfId="8" applyFont="1" applyFill="1" applyBorder="1"/>
    <xf numFmtId="0" fontId="44" fillId="32" borderId="20" xfId="8" applyFont="1" applyFill="1" applyBorder="1"/>
    <xf numFmtId="0" fontId="44" fillId="32" borderId="34" xfId="8" applyFont="1" applyFill="1" applyBorder="1"/>
    <xf numFmtId="0" fontId="12" fillId="3" borderId="31" xfId="6" applyNumberFormat="1" applyFont="1" applyFill="1" applyBorder="1" applyAlignment="1">
      <alignment horizontal="center"/>
    </xf>
    <xf numFmtId="1" fontId="12" fillId="3" borderId="31" xfId="6" applyNumberFormat="1" applyFont="1" applyFill="1" applyBorder="1" applyAlignment="1">
      <alignment horizontal="center"/>
    </xf>
    <xf numFmtId="0" fontId="12" fillId="3" borderId="31" xfId="6" applyFont="1" applyFill="1" applyBorder="1"/>
    <xf numFmtId="171" fontId="12" fillId="3" borderId="0" xfId="6" applyNumberFormat="1" applyFont="1" applyFill="1" applyAlignment="1">
      <alignment horizontal="center"/>
    </xf>
    <xf numFmtId="171" fontId="12" fillId="3" borderId="31" xfId="6" applyNumberFormat="1" applyFont="1" applyFill="1" applyBorder="1" applyAlignment="1">
      <alignment horizontal="center"/>
    </xf>
    <xf numFmtId="16" fontId="49" fillId="3" borderId="31" xfId="6" applyNumberFormat="1" applyFont="1" applyFill="1" applyBorder="1" applyAlignment="1">
      <alignment horizontal="center"/>
    </xf>
    <xf numFmtId="0" fontId="12" fillId="0" borderId="0" xfId="6" applyFont="1" applyFill="1" applyBorder="1"/>
    <xf numFmtId="0" fontId="55" fillId="0" borderId="0" xfId="6" applyFont="1" applyFill="1"/>
    <xf numFmtId="0" fontId="63" fillId="0" borderId="0" xfId="0" applyFont="1"/>
    <xf numFmtId="9" fontId="0" fillId="0" borderId="39" xfId="2" applyFont="1" applyBorder="1"/>
    <xf numFmtId="9" fontId="0" fillId="0" borderId="25" xfId="2" applyFont="1" applyBorder="1"/>
    <xf numFmtId="9" fontId="67" fillId="2" borderId="0" xfId="2" applyFont="1" applyFill="1" applyBorder="1"/>
    <xf numFmtId="9" fontId="67" fillId="2" borderId="8" xfId="2" applyFont="1" applyFill="1" applyBorder="1"/>
    <xf numFmtId="9" fontId="67" fillId="2" borderId="9" xfId="2" applyFont="1" applyFill="1" applyBorder="1"/>
    <xf numFmtId="0" fontId="67" fillId="7" borderId="31" xfId="0" applyFont="1" applyFill="1" applyBorder="1"/>
    <xf numFmtId="187" fontId="67" fillId="7" borderId="30" xfId="21" applyNumberFormat="1" applyFont="1" applyFill="1" applyBorder="1"/>
    <xf numFmtId="187" fontId="67" fillId="7" borderId="0" xfId="21" applyNumberFormat="1" applyFont="1" applyFill="1" applyBorder="1"/>
    <xf numFmtId="187" fontId="67" fillId="7" borderId="39" xfId="21" applyNumberFormat="1" applyFont="1" applyFill="1" applyBorder="1"/>
    <xf numFmtId="167" fontId="67" fillId="7" borderId="30" xfId="0" applyNumberFormat="1" applyFont="1" applyFill="1" applyBorder="1"/>
    <xf numFmtId="167" fontId="67" fillId="7" borderId="0" xfId="0" applyNumberFormat="1" applyFont="1" applyFill="1" applyBorder="1"/>
    <xf numFmtId="167" fontId="67" fillId="7" borderId="39" xfId="21" applyFont="1" applyFill="1" applyBorder="1"/>
    <xf numFmtId="187" fontId="67" fillId="7" borderId="39" xfId="0" applyNumberFormat="1" applyFont="1" applyFill="1" applyBorder="1"/>
    <xf numFmtId="9" fontId="67" fillId="7" borderId="30" xfId="2" applyFont="1" applyFill="1" applyBorder="1"/>
    <xf numFmtId="9" fontId="67" fillId="7" borderId="39" xfId="0" applyNumberFormat="1" applyFont="1" applyFill="1" applyBorder="1"/>
    <xf numFmtId="0" fontId="70" fillId="0" borderId="0" xfId="6" applyFont="1"/>
    <xf numFmtId="0" fontId="71" fillId="0" borderId="0" xfId="17" applyFont="1"/>
    <xf numFmtId="0" fontId="71" fillId="0" borderId="0" xfId="17" applyFont="1" applyAlignment="1">
      <alignment horizontal="left"/>
    </xf>
    <xf numFmtId="0" fontId="12" fillId="0" borderId="0" xfId="17" applyFont="1"/>
    <xf numFmtId="168" fontId="71" fillId="0" borderId="0" xfId="1" applyNumberFormat="1" applyFont="1"/>
    <xf numFmtId="0" fontId="28" fillId="0" borderId="0" xfId="0" applyFont="1" applyFill="1" applyBorder="1" applyAlignment="1">
      <alignment horizontal="center" vertical="center" wrapText="1"/>
    </xf>
    <xf numFmtId="0" fontId="27" fillId="0" borderId="10" xfId="0" applyFont="1" applyBorder="1" applyAlignment="1">
      <alignment horizontal="center"/>
    </xf>
    <xf numFmtId="0" fontId="28" fillId="0" borderId="9" xfId="0" applyFont="1" applyBorder="1"/>
    <xf numFmtId="0" fontId="28" fillId="0" borderId="9" xfId="0" applyFont="1" applyBorder="1" applyAlignment="1">
      <alignment horizontal="center"/>
    </xf>
    <xf numFmtId="0" fontId="28" fillId="0" borderId="10" xfId="0" applyFont="1" applyBorder="1" applyAlignment="1">
      <alignment horizontal="center"/>
    </xf>
    <xf numFmtId="0" fontId="27" fillId="0" borderId="39" xfId="0" applyFont="1" applyBorder="1" applyAlignment="1">
      <alignment horizontal="center"/>
    </xf>
    <xf numFmtId="0" fontId="27" fillId="0" borderId="24" xfId="0" applyFont="1" applyBorder="1"/>
    <xf numFmtId="168" fontId="27" fillId="0" borderId="6" xfId="1" applyNumberFormat="1" applyFont="1" applyBorder="1"/>
    <xf numFmtId="168" fontId="27" fillId="0" borderId="25" xfId="1" applyNumberFormat="1" applyFont="1" applyBorder="1"/>
    <xf numFmtId="0" fontId="27" fillId="9" borderId="27" xfId="0" applyFont="1" applyFill="1" applyBorder="1"/>
    <xf numFmtId="0" fontId="27" fillId="9" borderId="6" xfId="0" applyFont="1" applyFill="1" applyBorder="1"/>
    <xf numFmtId="168" fontId="27" fillId="9" borderId="6" xfId="1" applyNumberFormat="1" applyFont="1" applyFill="1" applyBorder="1"/>
    <xf numFmtId="0" fontId="27" fillId="0" borderId="25" xfId="0" applyFont="1" applyBorder="1" applyAlignment="1">
      <alignment horizontal="center"/>
    </xf>
    <xf numFmtId="168" fontId="27" fillId="0" borderId="9" xfId="1" applyNumberFormat="1" applyFont="1" applyBorder="1"/>
    <xf numFmtId="168" fontId="27" fillId="0" borderId="10" xfId="1" applyNumberFormat="1" applyFont="1" applyBorder="1"/>
    <xf numFmtId="0" fontId="27" fillId="0" borderId="8" xfId="0" applyFont="1" applyFill="1" applyBorder="1"/>
    <xf numFmtId="9" fontId="27" fillId="0" borderId="9" xfId="2" applyFont="1" applyBorder="1"/>
    <xf numFmtId="9" fontId="27" fillId="0" borderId="10" xfId="0" applyNumberFormat="1" applyFont="1" applyBorder="1"/>
    <xf numFmtId="0" fontId="27" fillId="0" borderId="29" xfId="0" applyFont="1" applyBorder="1"/>
    <xf numFmtId="0" fontId="28" fillId="0" borderId="26" xfId="0" applyFont="1" applyBorder="1" applyAlignment="1">
      <alignment horizontal="center" vertical="center"/>
    </xf>
    <xf numFmtId="0" fontId="27" fillId="0" borderId="31" xfId="0" applyFont="1" applyBorder="1"/>
    <xf numFmtId="168" fontId="27" fillId="9" borderId="31" xfId="1" applyNumberFormat="1" applyFont="1" applyFill="1" applyBorder="1"/>
    <xf numFmtId="168" fontId="28" fillId="0" borderId="0" xfId="1" applyNumberFormat="1" applyFont="1" applyFill="1" applyBorder="1"/>
    <xf numFmtId="168" fontId="27" fillId="0" borderId="0" xfId="1" applyNumberFormat="1" applyFont="1" applyFill="1"/>
    <xf numFmtId="0" fontId="27" fillId="0" borderId="28" xfId="0" applyFont="1" applyBorder="1"/>
    <xf numFmtId="0" fontId="27" fillId="9" borderId="30" xfId="0" applyFont="1" applyFill="1" applyBorder="1"/>
    <xf numFmtId="0" fontId="27" fillId="9" borderId="0" xfId="0" applyFont="1" applyFill="1" applyBorder="1"/>
    <xf numFmtId="168" fontId="27" fillId="9" borderId="0" xfId="1" applyNumberFormat="1" applyFont="1" applyFill="1" applyBorder="1"/>
    <xf numFmtId="168" fontId="27" fillId="9" borderId="39" xfId="1" applyNumberFormat="1" applyFont="1" applyFill="1" applyBorder="1"/>
    <xf numFmtId="9" fontId="27" fillId="0" borderId="0" xfId="2" applyFont="1" applyBorder="1"/>
    <xf numFmtId="9" fontId="27" fillId="0" borderId="39" xfId="2" applyFont="1" applyBorder="1"/>
    <xf numFmtId="0" fontId="28" fillId="9" borderId="8" xfId="0" applyFont="1" applyFill="1" applyBorder="1"/>
    <xf numFmtId="0" fontId="28" fillId="9" borderId="9" xfId="0" applyFont="1" applyFill="1" applyBorder="1"/>
    <xf numFmtId="168" fontId="28" fillId="9" borderId="9" xfId="1" applyNumberFormat="1" applyFont="1" applyFill="1" applyBorder="1"/>
    <xf numFmtId="168" fontId="28" fillId="9" borderId="10" xfId="1" applyNumberFormat="1" applyFont="1" applyFill="1" applyBorder="1"/>
    <xf numFmtId="9" fontId="27" fillId="0" borderId="6" xfId="2" applyFont="1" applyBorder="1"/>
    <xf numFmtId="9" fontId="27" fillId="0" borderId="25" xfId="2" applyFont="1" applyBorder="1"/>
    <xf numFmtId="168" fontId="27" fillId="9" borderId="26" xfId="1" applyNumberFormat="1" applyFont="1" applyFill="1" applyBorder="1"/>
    <xf numFmtId="168" fontId="27" fillId="9" borderId="30" xfId="1" applyNumberFormat="1" applyFont="1" applyFill="1" applyBorder="1"/>
    <xf numFmtId="0" fontId="28" fillId="0" borderId="7" xfId="0" applyFont="1" applyBorder="1"/>
    <xf numFmtId="168" fontId="28" fillId="9" borderId="7" xfId="1" applyNumberFormat="1" applyFont="1" applyFill="1" applyBorder="1"/>
    <xf numFmtId="168" fontId="28" fillId="9" borderId="27" xfId="1" applyNumberFormat="1" applyFont="1" applyFill="1" applyBorder="1"/>
    <xf numFmtId="168" fontId="28" fillId="9" borderId="6" xfId="1" applyNumberFormat="1" applyFont="1" applyFill="1" applyBorder="1"/>
    <xf numFmtId="168" fontId="28" fillId="9" borderId="25" xfId="1" applyNumberFormat="1" applyFont="1" applyFill="1" applyBorder="1"/>
    <xf numFmtId="0" fontId="28" fillId="0" borderId="7" xfId="0" applyFont="1" applyBorder="1" applyAlignment="1">
      <alignment horizontal="center" vertical="center"/>
    </xf>
    <xf numFmtId="0" fontId="28" fillId="9" borderId="7" xfId="1" applyNumberFormat="1" applyFont="1" applyFill="1" applyBorder="1" applyAlignment="1">
      <alignment horizontal="center" vertical="center"/>
    </xf>
    <xf numFmtId="168" fontId="27" fillId="0" borderId="0" xfId="0" applyNumberFormat="1" applyFont="1"/>
    <xf numFmtId="168" fontId="27" fillId="0" borderId="31" xfId="1" applyNumberFormat="1" applyFont="1" applyBorder="1"/>
    <xf numFmtId="0" fontId="27" fillId="0" borderId="0" xfId="0" applyFont="1" applyAlignment="1">
      <alignment horizontal="center"/>
    </xf>
    <xf numFmtId="0" fontId="27" fillId="0" borderId="26" xfId="0" applyFont="1" applyBorder="1"/>
    <xf numFmtId="168" fontId="27" fillId="0" borderId="26" xfId="1" applyNumberFormat="1" applyFont="1" applyBorder="1"/>
    <xf numFmtId="168" fontId="27" fillId="9" borderId="27" xfId="1" applyNumberFormat="1" applyFont="1" applyFill="1" applyBorder="1"/>
    <xf numFmtId="168" fontId="27" fillId="9" borderId="7" xfId="1" applyNumberFormat="1" applyFont="1" applyFill="1" applyBorder="1"/>
    <xf numFmtId="168" fontId="27" fillId="0" borderId="8" xfId="1" applyNumberFormat="1" applyFont="1" applyBorder="1"/>
    <xf numFmtId="3" fontId="27" fillId="0" borderId="0" xfId="0" applyNumberFormat="1" applyFont="1"/>
    <xf numFmtId="3" fontId="27" fillId="0" borderId="0" xfId="0" applyNumberFormat="1" applyFont="1" applyFill="1"/>
    <xf numFmtId="0" fontId="28" fillId="0" borderId="0" xfId="0" applyFont="1" applyFill="1" applyBorder="1"/>
    <xf numFmtId="0" fontId="12" fillId="0" borderId="8" xfId="19" applyFont="1" applyBorder="1"/>
    <xf numFmtId="0" fontId="6" fillId="0" borderId="30" xfId="19" applyFont="1" applyBorder="1"/>
    <xf numFmtId="0" fontId="6" fillId="0" borderId="0" xfId="19" applyFont="1" applyBorder="1"/>
    <xf numFmtId="0" fontId="6" fillId="0" borderId="27" xfId="19" applyFont="1" applyBorder="1"/>
    <xf numFmtId="0" fontId="6" fillId="0" borderId="6" xfId="19" applyFont="1" applyBorder="1"/>
    <xf numFmtId="168" fontId="6" fillId="0" borderId="25" xfId="20" applyNumberFormat="1" applyFont="1" applyBorder="1"/>
    <xf numFmtId="0" fontId="55" fillId="0" borderId="0" xfId="19" applyFont="1"/>
    <xf numFmtId="0" fontId="70" fillId="0" borderId="0" xfId="19" applyFont="1"/>
    <xf numFmtId="43" fontId="6" fillId="0" borderId="0" xfId="20" applyFont="1" applyBorder="1"/>
    <xf numFmtId="0" fontId="6" fillId="0" borderId="8" xfId="19" applyFont="1" applyBorder="1"/>
    <xf numFmtId="0" fontId="12" fillId="0" borderId="9" xfId="19" applyFont="1" applyBorder="1" applyAlignment="1">
      <alignment horizontal="center"/>
    </xf>
    <xf numFmtId="0" fontId="12" fillId="0" borderId="10" xfId="19" applyFont="1" applyBorder="1" applyAlignment="1">
      <alignment horizontal="center"/>
    </xf>
    <xf numFmtId="0" fontId="12" fillId="0" borderId="27" xfId="19" applyFont="1" applyFill="1" applyBorder="1"/>
    <xf numFmtId="168" fontId="6" fillId="0" borderId="27" xfId="20" applyNumberFormat="1" applyFont="1" applyBorder="1"/>
    <xf numFmtId="168" fontId="27" fillId="0" borderId="6" xfId="20" applyNumberFormat="1" applyFont="1" applyBorder="1"/>
    <xf numFmtId="0" fontId="12" fillId="0" borderId="8" xfId="19" applyFont="1" applyBorder="1" applyAlignment="1">
      <alignment horizontal="center"/>
    </xf>
    <xf numFmtId="0" fontId="20" fillId="17" borderId="0" xfId="0" applyFont="1" applyFill="1" applyBorder="1"/>
    <xf numFmtId="0" fontId="32" fillId="17" borderId="0" xfId="0" applyFont="1" applyFill="1"/>
    <xf numFmtId="0" fontId="30" fillId="17" borderId="8" xfId="0" applyFont="1" applyFill="1" applyBorder="1"/>
    <xf numFmtId="0" fontId="30" fillId="17" borderId="9" xfId="0" applyFont="1" applyFill="1" applyBorder="1" applyAlignment="1">
      <alignment horizontal="center"/>
    </xf>
    <xf numFmtId="0" fontId="30" fillId="17" borderId="10" xfId="0" applyFont="1" applyFill="1" applyBorder="1" applyAlignment="1">
      <alignment horizontal="center"/>
    </xf>
    <xf numFmtId="0" fontId="28" fillId="17" borderId="8" xfId="1" applyNumberFormat="1" applyFont="1" applyFill="1" applyBorder="1" applyAlignment="1">
      <alignment horizontal="center"/>
    </xf>
    <xf numFmtId="0" fontId="28" fillId="17" borderId="9" xfId="1" applyNumberFormat="1" applyFont="1" applyFill="1" applyBorder="1" applyAlignment="1">
      <alignment horizontal="center"/>
    </xf>
    <xf numFmtId="0" fontId="28" fillId="17" borderId="10" xfId="1" applyNumberFormat="1" applyFont="1" applyFill="1" applyBorder="1" applyAlignment="1">
      <alignment horizontal="center"/>
    </xf>
    <xf numFmtId="0" fontId="32" fillId="2" borderId="0" xfId="0" applyFont="1" applyFill="1" applyAlignment="1">
      <alignment horizontal="left"/>
    </xf>
    <xf numFmtId="0" fontId="32" fillId="2" borderId="25" xfId="0" applyFont="1" applyFill="1" applyBorder="1"/>
    <xf numFmtId="177" fontId="32" fillId="0" borderId="6" xfId="0" applyNumberFormat="1" applyFont="1" applyBorder="1" applyAlignment="1">
      <alignment horizontal="center"/>
    </xf>
    <xf numFmtId="0" fontId="32" fillId="2" borderId="30" xfId="0" applyFont="1" applyFill="1" applyBorder="1" applyAlignment="1">
      <alignment horizontal="right"/>
    </xf>
    <xf numFmtId="10" fontId="32" fillId="2" borderId="0" xfId="0" applyNumberFormat="1" applyFont="1" applyFill="1" applyBorder="1" applyAlignment="1">
      <alignment horizontal="left"/>
    </xf>
    <xf numFmtId="0" fontId="32" fillId="2" borderId="27" xfId="0" applyFont="1" applyFill="1" applyBorder="1" applyAlignment="1">
      <alignment horizontal="right"/>
    </xf>
    <xf numFmtId="10" fontId="32" fillId="2" borderId="6" xfId="0" applyNumberFormat="1" applyFont="1" applyFill="1" applyBorder="1" applyAlignment="1">
      <alignment horizontal="left"/>
    </xf>
    <xf numFmtId="0" fontId="6" fillId="0" borderId="7" xfId="19" applyFont="1" applyBorder="1" applyAlignment="1">
      <alignment horizontal="center"/>
    </xf>
    <xf numFmtId="0" fontId="12" fillId="0" borderId="7" xfId="19" applyFont="1" applyBorder="1" applyAlignment="1">
      <alignment horizontal="center"/>
    </xf>
    <xf numFmtId="0" fontId="12" fillId="0" borderId="7" xfId="19" applyFont="1" applyFill="1" applyBorder="1"/>
    <xf numFmtId="43" fontId="6" fillId="0" borderId="7" xfId="20" applyFont="1" applyBorder="1"/>
    <xf numFmtId="168" fontId="6" fillId="0" borderId="7" xfId="20" applyNumberFormat="1" applyFont="1" applyBorder="1"/>
    <xf numFmtId="0" fontId="12" fillId="0" borderId="7" xfId="19" applyFont="1" applyBorder="1"/>
    <xf numFmtId="168" fontId="30" fillId="7" borderId="0" xfId="1" applyNumberFormat="1" applyFont="1" applyFill="1" applyBorder="1" applyAlignment="1">
      <alignment horizontal="center"/>
    </xf>
    <xf numFmtId="9" fontId="30" fillId="7" borderId="0" xfId="2" applyFont="1" applyFill="1" applyBorder="1"/>
    <xf numFmtId="43" fontId="30" fillId="7" borderId="0" xfId="1" applyFont="1" applyFill="1" applyBorder="1"/>
    <xf numFmtId="168" fontId="30" fillId="0" borderId="0" xfId="1" applyNumberFormat="1" applyFont="1" applyBorder="1"/>
    <xf numFmtId="0" fontId="30" fillId="7" borderId="30" xfId="0" applyFont="1" applyFill="1" applyBorder="1"/>
    <xf numFmtId="188" fontId="32" fillId="0" borderId="39" xfId="0" applyNumberFormat="1" applyFont="1" applyBorder="1"/>
    <xf numFmtId="43" fontId="6" fillId="0" borderId="6" xfId="19" applyNumberFormat="1" applyFont="1" applyBorder="1"/>
    <xf numFmtId="0" fontId="6" fillId="0" borderId="25" xfId="19" applyFont="1" applyBorder="1"/>
    <xf numFmtId="168" fontId="32" fillId="2" borderId="27" xfId="0" applyNumberFormat="1" applyFont="1" applyFill="1" applyBorder="1" applyAlignment="1"/>
    <xf numFmtId="0" fontId="28" fillId="2" borderId="25" xfId="0" applyFont="1" applyFill="1" applyBorder="1" applyAlignment="1">
      <alignment horizontal="center" wrapText="1"/>
    </xf>
    <xf numFmtId="0" fontId="30" fillId="2" borderId="8" xfId="0" applyFont="1" applyFill="1" applyBorder="1"/>
    <xf numFmtId="168" fontId="30" fillId="2" borderId="9" xfId="1" applyNumberFormat="1" applyFont="1" applyFill="1" applyBorder="1" applyAlignment="1">
      <alignment horizontal="center"/>
    </xf>
    <xf numFmtId="9" fontId="32" fillId="2" borderId="9" xfId="2" applyFont="1" applyFill="1" applyBorder="1"/>
    <xf numFmtId="9" fontId="32" fillId="2" borderId="9" xfId="0" applyNumberFormat="1" applyFont="1" applyFill="1" applyBorder="1"/>
    <xf numFmtId="9" fontId="32" fillId="2" borderId="9" xfId="2" applyNumberFormat="1" applyFont="1" applyFill="1" applyBorder="1"/>
    <xf numFmtId="0" fontId="32" fillId="2" borderId="9" xfId="0" applyFont="1" applyFill="1" applyBorder="1"/>
    <xf numFmtId="9" fontId="32" fillId="2" borderId="10" xfId="2" applyFont="1" applyFill="1" applyBorder="1"/>
    <xf numFmtId="10" fontId="32" fillId="0" borderId="0" xfId="0" applyNumberFormat="1" applyFont="1" applyBorder="1"/>
    <xf numFmtId="0" fontId="55" fillId="2" borderId="0" xfId="0" applyFont="1" applyFill="1" applyBorder="1" applyAlignment="1">
      <alignment wrapText="1"/>
    </xf>
    <xf numFmtId="0" fontId="72" fillId="2" borderId="1" xfId="0" applyFont="1" applyFill="1" applyBorder="1" applyAlignment="1">
      <alignment wrapText="1"/>
    </xf>
    <xf numFmtId="0" fontId="55" fillId="2" borderId="2" xfId="0" applyFont="1" applyFill="1" applyBorder="1" applyAlignment="1">
      <alignment wrapText="1"/>
    </xf>
    <xf numFmtId="0" fontId="72" fillId="2" borderId="4" xfId="0" applyFont="1" applyFill="1" applyBorder="1" applyAlignment="1"/>
    <xf numFmtId="0" fontId="55" fillId="9" borderId="13" xfId="0" applyFont="1" applyFill="1" applyBorder="1" applyAlignment="1">
      <alignment wrapText="1"/>
    </xf>
    <xf numFmtId="0" fontId="55" fillId="9" borderId="12" xfId="0" applyFont="1" applyFill="1" applyBorder="1" applyAlignment="1"/>
    <xf numFmtId="10" fontId="55" fillId="2" borderId="7" xfId="2" applyNumberFormat="1" applyFont="1" applyFill="1" applyBorder="1" applyAlignment="1">
      <alignment horizontal="center" wrapText="1"/>
    </xf>
    <xf numFmtId="168" fontId="55" fillId="2" borderId="7" xfId="1" applyNumberFormat="1" applyFont="1" applyFill="1" applyBorder="1" applyAlignment="1">
      <alignment horizontal="center" wrapText="1"/>
    </xf>
    <xf numFmtId="9" fontId="55" fillId="2" borderId="7" xfId="2" applyFont="1" applyFill="1" applyBorder="1" applyAlignment="1">
      <alignment horizontal="center" wrapText="1"/>
    </xf>
    <xf numFmtId="187" fontId="55" fillId="2" borderId="7" xfId="1" applyNumberFormat="1" applyFont="1" applyFill="1" applyBorder="1" applyAlignment="1">
      <alignment horizontal="center" wrapText="1"/>
    </xf>
    <xf numFmtId="9" fontId="67" fillId="3" borderId="39" xfId="2" applyFont="1" applyFill="1" applyBorder="1"/>
    <xf numFmtId="9" fontId="32" fillId="0" borderId="7" xfId="0" applyNumberFormat="1" applyFont="1" applyBorder="1"/>
    <xf numFmtId="179" fontId="6" fillId="0" borderId="0" xfId="1" applyNumberFormat="1" applyFont="1"/>
    <xf numFmtId="168" fontId="6" fillId="0" borderId="0" xfId="6" applyNumberFormat="1" applyFont="1"/>
    <xf numFmtId="169" fontId="27" fillId="0" borderId="44" xfId="2" applyNumberFormat="1" applyFont="1" applyBorder="1"/>
    <xf numFmtId="43" fontId="27" fillId="2" borderId="0" xfId="1" applyFont="1" applyFill="1"/>
    <xf numFmtId="9" fontId="28" fillId="2" borderId="13" xfId="2" applyFont="1" applyFill="1" applyBorder="1" applyAlignment="1">
      <alignment horizontal="center"/>
    </xf>
    <xf numFmtId="192" fontId="32" fillId="2" borderId="0" xfId="1" applyNumberFormat="1" applyFont="1" applyFill="1" applyBorder="1"/>
    <xf numFmtId="192" fontId="32" fillId="2" borderId="6" xfId="1" applyNumberFormat="1" applyFont="1" applyFill="1" applyBorder="1"/>
    <xf numFmtId="192" fontId="32" fillId="2" borderId="0" xfId="0" applyNumberFormat="1" applyFont="1" applyFill="1" applyBorder="1"/>
    <xf numFmtId="192" fontId="30" fillId="7" borderId="6" xfId="1" applyNumberFormat="1" applyFont="1" applyFill="1" applyBorder="1"/>
    <xf numFmtId="192" fontId="32" fillId="2" borderId="5" xfId="1" applyNumberFormat="1" applyFont="1" applyFill="1" applyBorder="1"/>
    <xf numFmtId="192" fontId="32" fillId="2" borderId="75" xfId="1" applyNumberFormat="1" applyFont="1" applyFill="1" applyBorder="1"/>
    <xf numFmtId="192" fontId="30" fillId="7" borderId="75" xfId="1" applyNumberFormat="1" applyFont="1" applyFill="1" applyBorder="1"/>
    <xf numFmtId="192" fontId="27" fillId="0" borderId="0" xfId="0" applyNumberFormat="1" applyFont="1"/>
    <xf numFmtId="43" fontId="6" fillId="0" borderId="0" xfId="6" applyNumberFormat="1" applyFont="1"/>
    <xf numFmtId="0" fontId="6" fillId="0" borderId="7" xfId="19" applyFont="1" applyBorder="1"/>
    <xf numFmtId="7" fontId="30" fillId="26" borderId="13" xfId="1" applyNumberFormat="1" applyFont="1" applyFill="1" applyBorder="1" applyAlignment="1">
      <alignment vertical="center"/>
    </xf>
    <xf numFmtId="5" fontId="30" fillId="2" borderId="6" xfId="1" applyNumberFormat="1" applyFont="1" applyFill="1" applyBorder="1" applyAlignment="1">
      <alignment horizontal="center"/>
    </xf>
    <xf numFmtId="192" fontId="32" fillId="0" borderId="0" xfId="0" applyNumberFormat="1" applyFont="1" applyFill="1" applyBorder="1"/>
    <xf numFmtId="43" fontId="6" fillId="0" borderId="7" xfId="20" applyFont="1" applyFill="1" applyBorder="1"/>
    <xf numFmtId="0" fontId="28" fillId="9" borderId="26" xfId="0" applyFont="1" applyFill="1" applyBorder="1" applyAlignment="1">
      <alignment horizontal="center" vertical="center" wrapText="1"/>
    </xf>
    <xf numFmtId="0" fontId="12" fillId="0" borderId="0" xfId="19" applyFont="1" applyBorder="1" applyAlignment="1">
      <alignment horizontal="center"/>
    </xf>
    <xf numFmtId="0" fontId="6" fillId="0" borderId="0" xfId="19" applyFont="1" applyBorder="1" applyAlignment="1">
      <alignment horizontal="center"/>
    </xf>
    <xf numFmtId="168" fontId="6" fillId="0" borderId="0" xfId="20" applyNumberFormat="1" applyFont="1" applyBorder="1"/>
    <xf numFmtId="43" fontId="12" fillId="0" borderId="0" xfId="20" applyFont="1" applyBorder="1" applyAlignment="1">
      <alignment horizontal="center"/>
    </xf>
    <xf numFmtId="43" fontId="12" fillId="0" borderId="0" xfId="19" applyNumberFormat="1" applyFont="1" applyBorder="1"/>
    <xf numFmtId="0" fontId="6" fillId="0" borderId="10" xfId="19" applyFont="1" applyBorder="1"/>
    <xf numFmtId="0" fontId="6" fillId="0" borderId="8" xfId="19" applyFont="1" applyBorder="1" applyAlignment="1">
      <alignment horizontal="center"/>
    </xf>
    <xf numFmtId="0" fontId="6" fillId="0" borderId="28" xfId="19" applyFont="1" applyBorder="1"/>
    <xf numFmtId="0" fontId="6" fillId="0" borderId="29" xfId="19" applyFont="1" applyBorder="1"/>
    <xf numFmtId="43" fontId="6" fillId="0" borderId="29" xfId="20" applyFont="1" applyBorder="1"/>
    <xf numFmtId="0" fontId="6" fillId="0" borderId="29" xfId="19" applyFont="1" applyBorder="1" applyAlignment="1">
      <alignment horizontal="center"/>
    </xf>
    <xf numFmtId="0" fontId="6" fillId="0" borderId="23" xfId="19" applyFont="1" applyBorder="1" applyAlignment="1">
      <alignment horizontal="center"/>
    </xf>
    <xf numFmtId="0" fontId="28" fillId="9" borderId="25" xfId="0" applyFont="1" applyFill="1" applyBorder="1" applyAlignment="1">
      <alignment horizontal="center" vertical="center" wrapText="1"/>
    </xf>
    <xf numFmtId="0" fontId="28" fillId="9" borderId="27" xfId="0" applyFont="1" applyFill="1" applyBorder="1" applyAlignment="1">
      <alignment horizontal="center" vertical="center" wrapText="1"/>
    </xf>
    <xf numFmtId="0" fontId="27" fillId="0" borderId="77" xfId="0" applyFont="1" applyBorder="1"/>
    <xf numFmtId="169" fontId="27" fillId="0" borderId="78" xfId="2" applyNumberFormat="1" applyFont="1" applyBorder="1"/>
    <xf numFmtId="169" fontId="27" fillId="0" borderId="79" xfId="2" applyNumberFormat="1" applyFont="1" applyBorder="1"/>
    <xf numFmtId="43" fontId="27" fillId="0" borderId="78" xfId="1" applyNumberFormat="1" applyFont="1" applyBorder="1"/>
    <xf numFmtId="43" fontId="27" fillId="0" borderId="79" xfId="1" applyNumberFormat="1" applyFont="1" applyBorder="1"/>
    <xf numFmtId="168" fontId="27" fillId="0" borderId="78" xfId="1" applyNumberFormat="1" applyFont="1" applyBorder="1"/>
    <xf numFmtId="168" fontId="27" fillId="0" borderId="79" xfId="1" applyNumberFormat="1" applyFont="1" applyBorder="1"/>
    <xf numFmtId="0" fontId="28" fillId="0" borderId="77" xfId="0" applyFont="1" applyBorder="1"/>
    <xf numFmtId="169" fontId="27" fillId="0" borderId="0" xfId="1" applyNumberFormat="1" applyFont="1"/>
    <xf numFmtId="169" fontId="27" fillId="0" borderId="78" xfId="1" applyNumberFormat="1" applyFont="1" applyBorder="1"/>
    <xf numFmtId="169" fontId="27" fillId="0" borderId="15" xfId="2" applyNumberFormat="1" applyFont="1" applyBorder="1"/>
    <xf numFmtId="9" fontId="27" fillId="2" borderId="0" xfId="2" applyFont="1" applyFill="1" applyBorder="1" applyAlignment="1">
      <alignment horizontal="left"/>
    </xf>
    <xf numFmtId="43" fontId="0" fillId="0" borderId="0" xfId="1" applyFont="1" applyBorder="1"/>
    <xf numFmtId="43" fontId="6" fillId="0" borderId="0" xfId="1" applyFont="1" applyBorder="1"/>
    <xf numFmtId="168" fontId="6" fillId="0" borderId="0" xfId="6" applyNumberFormat="1" applyFont="1" applyBorder="1"/>
    <xf numFmtId="43" fontId="6" fillId="0" borderId="0" xfId="1" applyFont="1"/>
    <xf numFmtId="43" fontId="27" fillId="0" borderId="0" xfId="1" applyFont="1" applyFill="1" applyBorder="1"/>
    <xf numFmtId="9" fontId="6" fillId="0" borderId="0" xfId="0" applyNumberFormat="1" applyFont="1" applyFill="1" applyBorder="1"/>
    <xf numFmtId="9" fontId="28" fillId="2" borderId="2" xfId="2" applyFont="1" applyFill="1" applyBorder="1" applyAlignment="1">
      <alignment horizontal="center"/>
    </xf>
    <xf numFmtId="167" fontId="27" fillId="2" borderId="0" xfId="0" applyNumberFormat="1" applyFont="1" applyFill="1" applyBorder="1"/>
    <xf numFmtId="0" fontId="27" fillId="2" borderId="23" xfId="0" applyFont="1" applyFill="1" applyBorder="1"/>
    <xf numFmtId="168" fontId="27" fillId="2" borderId="24" xfId="1" applyNumberFormat="1" applyFont="1" applyFill="1" applyBorder="1"/>
    <xf numFmtId="168" fontId="27" fillId="2" borderId="28" xfId="1" applyNumberFormat="1" applyFont="1" applyFill="1" applyBorder="1"/>
    <xf numFmtId="168" fontId="27" fillId="2" borderId="39" xfId="1" applyNumberFormat="1" applyFont="1" applyFill="1" applyBorder="1"/>
    <xf numFmtId="188" fontId="27" fillId="2" borderId="0" xfId="1" applyNumberFormat="1" applyFont="1" applyFill="1" applyBorder="1"/>
    <xf numFmtId="188" fontId="27" fillId="2" borderId="39" xfId="1" applyNumberFormat="1" applyFont="1" applyFill="1" applyBorder="1"/>
    <xf numFmtId="189" fontId="27" fillId="2" borderId="6" xfId="0" applyNumberFormat="1" applyFont="1" applyFill="1" applyBorder="1"/>
    <xf numFmtId="189" fontId="27" fillId="2" borderId="25" xfId="0" applyNumberFormat="1" applyFont="1" applyFill="1" applyBorder="1"/>
    <xf numFmtId="0" fontId="27" fillId="2" borderId="8" xfId="0" applyFont="1" applyFill="1" applyBorder="1"/>
    <xf numFmtId="188" fontId="27" fillId="2" borderId="9" xfId="1" applyNumberFormat="1" applyFont="1" applyFill="1" applyBorder="1"/>
    <xf numFmtId="167" fontId="32" fillId="2" borderId="30" xfId="0" applyNumberFormat="1" applyFont="1" applyFill="1" applyBorder="1"/>
    <xf numFmtId="167" fontId="6" fillId="0" borderId="0" xfId="19" applyNumberFormat="1" applyFont="1"/>
    <xf numFmtId="168" fontId="20" fillId="12" borderId="26" xfId="0" applyNumberFormat="1" applyFont="1" applyFill="1" applyBorder="1"/>
    <xf numFmtId="43" fontId="0" fillId="0" borderId="0" xfId="1" applyFont="1"/>
    <xf numFmtId="190" fontId="32" fillId="2" borderId="0" xfId="0" applyNumberFormat="1" applyFont="1" applyFill="1" applyBorder="1"/>
    <xf numFmtId="190" fontId="0" fillId="0" borderId="0" xfId="0" applyNumberFormat="1" applyBorder="1"/>
    <xf numFmtId="0" fontId="18" fillId="0" borderId="0" xfId="19" applyFont="1" applyBorder="1"/>
    <xf numFmtId="0" fontId="18" fillId="0" borderId="0" xfId="19" applyFont="1" applyFill="1" applyBorder="1"/>
    <xf numFmtId="0" fontId="19" fillId="0" borderId="0" xfId="19" applyFont="1" applyBorder="1"/>
    <xf numFmtId="43" fontId="19" fillId="0" borderId="0" xfId="20" applyFont="1" applyFill="1" applyBorder="1"/>
    <xf numFmtId="168" fontId="19" fillId="0" borderId="0" xfId="20" applyNumberFormat="1" applyFont="1" applyBorder="1"/>
    <xf numFmtId="43" fontId="0" fillId="0" borderId="0" xfId="0" applyNumberFormat="1" applyBorder="1"/>
    <xf numFmtId="168" fontId="0" fillId="0" borderId="0" xfId="0" applyNumberFormat="1" applyBorder="1"/>
    <xf numFmtId="193" fontId="30" fillId="0" borderId="39" xfId="0" applyNumberFormat="1" applyFont="1" applyBorder="1" applyAlignment="1">
      <alignment horizontal="center"/>
    </xf>
    <xf numFmtId="0" fontId="30" fillId="0" borderId="24" xfId="0" applyFont="1" applyBorder="1" applyAlignment="1">
      <alignment horizontal="center"/>
    </xf>
    <xf numFmtId="0" fontId="32" fillId="2" borderId="28" xfId="0" applyFont="1" applyFill="1" applyBorder="1"/>
    <xf numFmtId="193" fontId="30" fillId="0" borderId="6" xfId="0" applyNumberFormat="1" applyFont="1" applyBorder="1" applyAlignment="1">
      <alignment horizontal="center"/>
    </xf>
    <xf numFmtId="0" fontId="18" fillId="0" borderId="7" xfId="0" applyFont="1" applyFill="1" applyBorder="1" applyAlignment="1">
      <alignment horizontal="center" vertical="center"/>
    </xf>
    <xf numFmtId="0" fontId="28" fillId="9" borderId="0" xfId="0" applyFont="1" applyFill="1" applyBorder="1"/>
    <xf numFmtId="9" fontId="30" fillId="9" borderId="0" xfId="2" applyFont="1" applyFill="1"/>
    <xf numFmtId="169" fontId="12" fillId="9" borderId="0" xfId="2" applyNumberFormat="1" applyFont="1" applyFill="1" applyBorder="1"/>
    <xf numFmtId="0" fontId="6" fillId="9" borderId="8" xfId="6" applyFont="1" applyFill="1" applyBorder="1"/>
    <xf numFmtId="0" fontId="30" fillId="9" borderId="9" xfId="6" applyFont="1" applyFill="1" applyBorder="1" applyAlignment="1">
      <alignment horizontal="center"/>
    </xf>
    <xf numFmtId="0" fontId="30" fillId="9" borderId="10" xfId="6" applyFont="1" applyFill="1" applyBorder="1" applyAlignment="1">
      <alignment horizontal="center"/>
    </xf>
    <xf numFmtId="49" fontId="28" fillId="0" borderId="0" xfId="6" applyNumberFormat="1" applyFont="1" applyBorder="1" applyAlignment="1">
      <alignment horizontal="center"/>
    </xf>
    <xf numFmtId="0" fontId="28" fillId="0" borderId="0" xfId="14" applyNumberFormat="1" applyFont="1" applyBorder="1" applyAlignment="1">
      <alignment horizontal="center"/>
    </xf>
    <xf numFmtId="0" fontId="30" fillId="0" borderId="0" xfId="6" applyFont="1" applyBorder="1" applyAlignment="1">
      <alignment horizontal="center"/>
    </xf>
    <xf numFmtId="0" fontId="28" fillId="0" borderId="0" xfId="14" applyNumberFormat="1" applyFont="1" applyFill="1" applyBorder="1" applyAlignment="1">
      <alignment horizontal="center"/>
    </xf>
    <xf numFmtId="0" fontId="27" fillId="0" borderId="0" xfId="6" applyFont="1" applyFill="1" applyBorder="1"/>
    <xf numFmtId="168" fontId="28" fillId="0" borderId="0" xfId="14" applyNumberFormat="1" applyFont="1" applyFill="1" applyBorder="1"/>
    <xf numFmtId="0" fontId="0" fillId="0" borderId="39" xfId="0" applyBorder="1"/>
    <xf numFmtId="193" fontId="32" fillId="2" borderId="0" xfId="0" applyNumberFormat="1" applyFont="1" applyFill="1" applyBorder="1"/>
    <xf numFmtId="193" fontId="32" fillId="2" borderId="39" xfId="1" applyNumberFormat="1" applyFont="1" applyFill="1" applyBorder="1"/>
    <xf numFmtId="193" fontId="32" fillId="2" borderId="6" xfId="0" applyNumberFormat="1" applyFont="1" applyFill="1" applyBorder="1"/>
    <xf numFmtId="193" fontId="32" fillId="2" borderId="25" xfId="1" applyNumberFormat="1" applyFont="1" applyFill="1" applyBorder="1"/>
    <xf numFmtId="193" fontId="30" fillId="7" borderId="0" xfId="1" applyNumberFormat="1" applyFont="1" applyFill="1" applyBorder="1"/>
    <xf numFmtId="193" fontId="30" fillId="7" borderId="39" xfId="1" applyNumberFormat="1" applyFont="1" applyFill="1" applyBorder="1"/>
    <xf numFmtId="193" fontId="32" fillId="2" borderId="0" xfId="1" applyNumberFormat="1" applyFont="1" applyFill="1" applyBorder="1"/>
    <xf numFmtId="193" fontId="32" fillId="2" borderId="6" xfId="1" applyNumberFormat="1" applyFont="1" applyFill="1" applyBorder="1"/>
    <xf numFmtId="165" fontId="12" fillId="0" borderId="7" xfId="19" applyNumberFormat="1" applyFont="1" applyBorder="1"/>
    <xf numFmtId="188" fontId="12" fillId="0" borderId="7" xfId="20" applyNumberFormat="1" applyFont="1" applyBorder="1" applyAlignment="1">
      <alignment horizontal="right"/>
    </xf>
    <xf numFmtId="165" fontId="6" fillId="0" borderId="7" xfId="1" applyNumberFormat="1" applyFont="1" applyBorder="1"/>
    <xf numFmtId="165" fontId="6" fillId="0" borderId="7" xfId="19" applyNumberFormat="1" applyFont="1" applyBorder="1"/>
    <xf numFmtId="188" fontId="12" fillId="0" borderId="0" xfId="19" applyNumberFormat="1" applyFont="1" applyBorder="1"/>
    <xf numFmtId="0" fontId="67" fillId="0" borderId="23" xfId="0" applyFont="1" applyBorder="1" applyAlignment="1">
      <alignment horizontal="center"/>
    </xf>
    <xf numFmtId="189" fontId="32" fillId="0" borderId="39" xfId="0" applyNumberFormat="1" applyFont="1" applyBorder="1"/>
    <xf numFmtId="43" fontId="32" fillId="0" borderId="39" xfId="1" applyFont="1" applyBorder="1"/>
    <xf numFmtId="43" fontId="0" fillId="0" borderId="25" xfId="1" applyFont="1" applyBorder="1"/>
    <xf numFmtId="8" fontId="32" fillId="2" borderId="3" xfId="0" applyNumberFormat="1" applyFont="1" applyFill="1" applyBorder="1"/>
    <xf numFmtId="0" fontId="32" fillId="2" borderId="72" xfId="0" applyFont="1" applyFill="1" applyBorder="1"/>
    <xf numFmtId="0" fontId="32" fillId="2" borderId="76" xfId="0" applyFont="1" applyFill="1" applyBorder="1"/>
    <xf numFmtId="192" fontId="30" fillId="9" borderId="11" xfId="0" applyNumberFormat="1" applyFont="1" applyFill="1" applyBorder="1"/>
    <xf numFmtId="168" fontId="32" fillId="2" borderId="5" xfId="0" applyNumberFormat="1" applyFont="1" applyFill="1" applyBorder="1"/>
    <xf numFmtId="0" fontId="72" fillId="2" borderId="12" xfId="0" applyFont="1" applyFill="1" applyBorder="1" applyAlignment="1"/>
    <xf numFmtId="0" fontId="55" fillId="2" borderId="13" xfId="0" applyFont="1" applyFill="1" applyBorder="1" applyAlignment="1">
      <alignment wrapText="1"/>
    </xf>
    <xf numFmtId="168" fontId="32" fillId="2" borderId="11" xfId="0" applyNumberFormat="1" applyFont="1" applyFill="1" applyBorder="1"/>
    <xf numFmtId="9" fontId="6" fillId="0" borderId="0" xfId="15" applyNumberFormat="1" applyFont="1"/>
    <xf numFmtId="0" fontId="0" fillId="0" borderId="0" xfId="0" applyFont="1"/>
    <xf numFmtId="0" fontId="73" fillId="0" borderId="0" xfId="0" applyFont="1" applyAlignment="1">
      <alignment horizontal="left"/>
    </xf>
    <xf numFmtId="0" fontId="73" fillId="0" borderId="0" xfId="0" applyFont="1" applyFill="1" applyBorder="1"/>
    <xf numFmtId="0" fontId="75" fillId="0" borderId="0" xfId="0" applyFont="1" applyFill="1" applyBorder="1"/>
    <xf numFmtId="0" fontId="73" fillId="0" borderId="0" xfId="0" applyFont="1" applyFill="1" applyBorder="1" applyAlignment="1">
      <alignment horizontal="right"/>
    </xf>
    <xf numFmtId="167" fontId="28" fillId="0" borderId="0" xfId="1" applyNumberFormat="1" applyFont="1" applyBorder="1"/>
    <xf numFmtId="189" fontId="32" fillId="2" borderId="0" xfId="0" applyNumberFormat="1" applyFont="1" applyFill="1" applyBorder="1"/>
    <xf numFmtId="9" fontId="27" fillId="0" borderId="0" xfId="0" applyNumberFormat="1" applyFont="1"/>
    <xf numFmtId="43" fontId="30" fillId="26" borderId="10" xfId="1" applyNumberFormat="1" applyFont="1" applyFill="1" applyBorder="1"/>
    <xf numFmtId="168" fontId="0" fillId="0" borderId="30" xfId="1" applyNumberFormat="1" applyFont="1" applyBorder="1"/>
    <xf numFmtId="43" fontId="32" fillId="0" borderId="30" xfId="1" applyFont="1" applyBorder="1"/>
    <xf numFmtId="0" fontId="76" fillId="0" borderId="0" xfId="0" applyFont="1" applyFill="1" applyBorder="1" applyAlignment="1">
      <alignment vertical="top"/>
    </xf>
    <xf numFmtId="0" fontId="77" fillId="0" borderId="0" xfId="0" applyFont="1" applyAlignment="1">
      <alignment horizontal="left"/>
    </xf>
    <xf numFmtId="167" fontId="27" fillId="0" borderId="0" xfId="0" applyNumberFormat="1" applyFont="1"/>
    <xf numFmtId="0" fontId="28" fillId="0" borderId="0" xfId="0" applyFont="1" applyBorder="1" applyAlignment="1">
      <alignment horizontal="center"/>
    </xf>
    <xf numFmtId="0" fontId="28" fillId="0" borderId="8" xfId="0" applyFont="1" applyBorder="1" applyAlignment="1">
      <alignment horizontal="center"/>
    </xf>
    <xf numFmtId="0" fontId="28" fillId="0" borderId="9" xfId="0" applyFont="1" applyBorder="1" applyAlignment="1">
      <alignment horizontal="center"/>
    </xf>
    <xf numFmtId="0" fontId="28" fillId="0" borderId="10" xfId="0" applyFont="1" applyBorder="1" applyAlignment="1">
      <alignment horizontal="center"/>
    </xf>
    <xf numFmtId="168" fontId="31" fillId="0" borderId="0" xfId="1" applyNumberFormat="1" applyFont="1"/>
    <xf numFmtId="168" fontId="21" fillId="0" borderId="0" xfId="1" applyNumberFormat="1" applyFont="1"/>
    <xf numFmtId="0" fontId="80" fillId="0" borderId="0" xfId="0" applyFont="1"/>
    <xf numFmtId="0" fontId="79" fillId="0" borderId="0" xfId="0" applyFont="1"/>
    <xf numFmtId="9" fontId="79" fillId="0" borderId="0" xfId="2" applyFont="1"/>
    <xf numFmtId="0" fontId="79" fillId="0" borderId="0" xfId="0" applyFont="1" applyFill="1"/>
    <xf numFmtId="4" fontId="79" fillId="0" borderId="0" xfId="0" applyNumberFormat="1" applyFont="1" applyFill="1"/>
    <xf numFmtId="168" fontId="79" fillId="0" borderId="0" xfId="1" applyNumberFormat="1" applyFont="1" applyFill="1"/>
    <xf numFmtId="168" fontId="27" fillId="0" borderId="30" xfId="0" applyNumberFormat="1" applyFont="1" applyBorder="1"/>
    <xf numFmtId="168" fontId="27" fillId="0" borderId="0" xfId="0" applyNumberFormat="1" applyFont="1" applyBorder="1"/>
    <xf numFmtId="168" fontId="27" fillId="0" borderId="39" xfId="0" applyNumberFormat="1" applyFont="1" applyBorder="1"/>
    <xf numFmtId="187" fontId="27" fillId="0" borderId="30" xfId="0" applyNumberFormat="1" applyFont="1" applyBorder="1"/>
    <xf numFmtId="187" fontId="27" fillId="0" borderId="0" xfId="0" applyNumberFormat="1" applyFont="1" applyBorder="1"/>
    <xf numFmtId="187" fontId="27" fillId="0" borderId="39" xfId="0" applyNumberFormat="1" applyFont="1" applyBorder="1"/>
    <xf numFmtId="168" fontId="27" fillId="0" borderId="27" xfId="0" applyNumberFormat="1" applyFont="1" applyBorder="1"/>
    <xf numFmtId="168" fontId="27" fillId="0" borderId="6" xfId="0" applyNumberFormat="1" applyFont="1" applyBorder="1"/>
    <xf numFmtId="168" fontId="27" fillId="0" borderId="25" xfId="0" applyNumberFormat="1" applyFont="1" applyBorder="1"/>
    <xf numFmtId="43" fontId="27" fillId="0" borderId="0" xfId="0" applyNumberFormat="1" applyFont="1"/>
    <xf numFmtId="10" fontId="27" fillId="0" borderId="0" xfId="2" applyNumberFormat="1" applyFont="1"/>
    <xf numFmtId="169" fontId="32" fillId="0" borderId="0" xfId="2" applyNumberFormat="1" applyFont="1" applyFill="1" applyBorder="1" applyAlignment="1"/>
    <xf numFmtId="10" fontId="32" fillId="0" borderId="0" xfId="2" applyNumberFormat="1" applyFont="1" applyFill="1" applyBorder="1" applyAlignment="1"/>
    <xf numFmtId="194" fontId="32" fillId="0" borderId="0" xfId="2" applyNumberFormat="1" applyFont="1" applyFill="1" applyBorder="1" applyAlignment="1"/>
    <xf numFmtId="0" fontId="32" fillId="3" borderId="0" xfId="0" applyFont="1" applyFill="1" applyBorder="1" applyAlignment="1"/>
    <xf numFmtId="10" fontId="32" fillId="0" borderId="0" xfId="2" applyNumberFormat="1" applyFont="1"/>
    <xf numFmtId="169" fontId="32" fillId="0" borderId="7" xfId="0" applyNumberFormat="1" applyFont="1" applyBorder="1"/>
    <xf numFmtId="0" fontId="65" fillId="0" borderId="18" xfId="0" applyFont="1" applyFill="1" applyBorder="1" applyAlignment="1">
      <alignment horizontal="left"/>
    </xf>
    <xf numFmtId="169" fontId="32" fillId="0" borderId="0" xfId="2" applyNumberFormat="1" applyFont="1" applyBorder="1"/>
    <xf numFmtId="43" fontId="32" fillId="0" borderId="0" xfId="1" applyFont="1" applyBorder="1"/>
    <xf numFmtId="0" fontId="28" fillId="0" borderId="0" xfId="0" applyFont="1" applyAlignment="1">
      <alignment horizontal="center" vertical="center"/>
    </xf>
    <xf numFmtId="9" fontId="32" fillId="0" borderId="0" xfId="2" applyFont="1" applyAlignment="1">
      <alignment horizontal="center" vertical="center"/>
    </xf>
    <xf numFmtId="0" fontId="32" fillId="0" borderId="0" xfId="0" applyFont="1" applyAlignment="1">
      <alignment horizontal="center" vertical="center"/>
    </xf>
    <xf numFmtId="0" fontId="32" fillId="0" borderId="0" xfId="0" applyFont="1" applyFill="1" applyBorder="1" applyAlignment="1">
      <alignment horizontal="center" vertical="center"/>
    </xf>
    <xf numFmtId="0" fontId="32" fillId="0" borderId="0" xfId="0" applyFont="1" applyBorder="1" applyAlignment="1">
      <alignment horizontal="center" vertical="center"/>
    </xf>
    <xf numFmtId="0" fontId="30" fillId="15" borderId="7" xfId="0" applyFont="1" applyFill="1" applyBorder="1" applyAlignment="1">
      <alignment horizontal="center" vertical="center" wrapText="1"/>
    </xf>
    <xf numFmtId="192" fontId="30" fillId="15" borderId="7" xfId="0" applyNumberFormat="1" applyFont="1" applyFill="1" applyBorder="1" applyAlignment="1">
      <alignment horizontal="center" vertical="center" wrapText="1"/>
    </xf>
    <xf numFmtId="0" fontId="83" fillId="0" borderId="0" xfId="0" applyFont="1"/>
    <xf numFmtId="0" fontId="84" fillId="0" borderId="0" xfId="0" applyFont="1" applyAlignment="1">
      <alignment horizontal="left"/>
    </xf>
    <xf numFmtId="0" fontId="85" fillId="0" borderId="0" xfId="0" quotePrefix="1" applyFont="1" applyAlignment="1">
      <alignment horizontal="right"/>
    </xf>
    <xf numFmtId="9" fontId="27" fillId="0" borderId="0" xfId="2" applyNumberFormat="1" applyFont="1"/>
    <xf numFmtId="43" fontId="28" fillId="0" borderId="0" xfId="1" applyNumberFormat="1" applyFont="1" applyBorder="1"/>
    <xf numFmtId="0" fontId="88" fillId="0" borderId="0" xfId="0" applyFont="1" applyAlignment="1">
      <alignment horizontal="justify" vertical="center" wrapText="1"/>
    </xf>
    <xf numFmtId="0" fontId="86" fillId="0" borderId="0" xfId="0" applyFont="1" applyBorder="1" applyAlignment="1">
      <alignment horizontal="center" vertical="center" wrapText="1"/>
    </xf>
    <xf numFmtId="0" fontId="87" fillId="0" borderId="0" xfId="0" applyFont="1" applyBorder="1" applyAlignment="1">
      <alignment horizontal="justify" vertical="center" wrapText="1"/>
    </xf>
    <xf numFmtId="0" fontId="88" fillId="0" borderId="0"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0" xfId="0" applyFont="1"/>
    <xf numFmtId="0" fontId="90" fillId="0" borderId="0" xfId="0" applyFont="1"/>
    <xf numFmtId="0" fontId="87" fillId="0" borderId="0" xfId="0" applyFont="1" applyAlignment="1">
      <alignment horizontal="justify" vertical="center"/>
    </xf>
    <xf numFmtId="0" fontId="86" fillId="0" borderId="0" xfId="0" applyFont="1" applyAlignment="1">
      <alignment horizontal="justify" vertical="center"/>
    </xf>
    <xf numFmtId="0" fontId="88" fillId="0" borderId="60" xfId="0" applyFont="1" applyBorder="1" applyAlignment="1">
      <alignment horizontal="justify" vertical="center" wrapText="1"/>
    </xf>
    <xf numFmtId="11" fontId="88" fillId="0" borderId="0" xfId="0" applyNumberFormat="1" applyFont="1" applyAlignment="1">
      <alignment horizontal="justify" vertical="center" wrapText="1"/>
    </xf>
    <xf numFmtId="0" fontId="87" fillId="0" borderId="0" xfId="0" applyFont="1" applyAlignment="1">
      <alignment vertical="center"/>
    </xf>
    <xf numFmtId="0" fontId="88" fillId="0" borderId="83" xfId="0" applyFont="1" applyBorder="1" applyAlignment="1">
      <alignment horizontal="justify" vertical="center" wrapText="1"/>
    </xf>
    <xf numFmtId="0" fontId="91" fillId="0" borderId="84" xfId="0" applyFont="1" applyBorder="1" applyAlignment="1">
      <alignment horizontal="justify" vertical="center" wrapText="1"/>
    </xf>
    <xf numFmtId="0" fontId="91" fillId="0" borderId="85" xfId="0" applyFont="1" applyBorder="1" applyAlignment="1">
      <alignment horizontal="justify" vertical="center" wrapText="1"/>
    </xf>
    <xf numFmtId="0" fontId="88" fillId="0" borderId="86" xfId="0" applyFont="1" applyBorder="1" applyAlignment="1">
      <alignment horizontal="justify" vertical="center" wrapText="1"/>
    </xf>
    <xf numFmtId="3" fontId="88" fillId="0" borderId="87" xfId="0" applyNumberFormat="1" applyFont="1" applyBorder="1" applyAlignment="1">
      <alignment horizontal="justify" vertical="center" wrapText="1"/>
    </xf>
    <xf numFmtId="3" fontId="88" fillId="0" borderId="88" xfId="0" applyNumberFormat="1" applyFont="1" applyBorder="1" applyAlignment="1">
      <alignment horizontal="justify" vertical="center" wrapText="1"/>
    </xf>
    <xf numFmtId="0" fontId="88" fillId="0" borderId="87" xfId="0" applyFont="1" applyBorder="1" applyAlignment="1">
      <alignment horizontal="justify" vertical="center" wrapText="1"/>
    </xf>
    <xf numFmtId="0" fontId="88" fillId="0" borderId="88" xfId="0" applyFont="1" applyBorder="1" applyAlignment="1">
      <alignment horizontal="justify" vertical="center" wrapText="1"/>
    </xf>
    <xf numFmtId="0" fontId="91" fillId="0" borderId="87" xfId="0" applyFont="1" applyBorder="1" applyAlignment="1">
      <alignment horizontal="justify" vertical="center" wrapText="1"/>
    </xf>
    <xf numFmtId="0" fontId="91" fillId="0" borderId="88" xfId="0" applyFont="1" applyBorder="1" applyAlignment="1">
      <alignment horizontal="justify" vertical="center" wrapText="1"/>
    </xf>
    <xf numFmtId="0" fontId="89" fillId="0" borderId="0" xfId="0" applyFont="1" applyBorder="1" applyAlignment="1">
      <alignment horizontal="justify" vertical="center" wrapText="1"/>
    </xf>
    <xf numFmtId="0" fontId="88" fillId="0" borderId="0" xfId="0" applyFont="1" applyAlignment="1">
      <alignment horizontal="center" vertical="center" wrapText="1"/>
    </xf>
    <xf numFmtId="0" fontId="89" fillId="34" borderId="0" xfId="0" applyFont="1" applyFill="1" applyBorder="1" applyAlignment="1">
      <alignment horizontal="center" vertical="center" wrapText="1"/>
    </xf>
    <xf numFmtId="0" fontId="87" fillId="0" borderId="0" xfId="0" applyFont="1" applyAlignment="1">
      <alignment horizontal="center"/>
    </xf>
    <xf numFmtId="0" fontId="90" fillId="0" borderId="0" xfId="0" applyFont="1" applyAlignment="1">
      <alignment horizontal="center" vertical="center"/>
    </xf>
    <xf numFmtId="0" fontId="90" fillId="0" borderId="0" xfId="0" applyFont="1" applyAlignment="1">
      <alignment horizontal="justify" vertical="center"/>
    </xf>
    <xf numFmtId="10" fontId="32" fillId="2" borderId="0" xfId="2" applyNumberFormat="1" applyFont="1" applyFill="1"/>
    <xf numFmtId="169" fontId="27" fillId="2" borderId="0" xfId="2" applyNumberFormat="1" applyFont="1" applyFill="1" applyBorder="1"/>
    <xf numFmtId="0" fontId="52" fillId="0" borderId="0" xfId="6" applyFont="1" applyBorder="1"/>
    <xf numFmtId="10" fontId="12" fillId="0" borderId="0" xfId="2" applyNumberFormat="1" applyFont="1" applyFill="1" applyBorder="1"/>
    <xf numFmtId="43" fontId="6" fillId="0" borderId="25" xfId="1" applyFont="1" applyBorder="1" applyAlignment="1">
      <alignment horizontal="center"/>
    </xf>
    <xf numFmtId="0" fontId="12" fillId="0" borderId="0" xfId="19" applyFont="1" applyBorder="1"/>
    <xf numFmtId="0" fontId="12" fillId="0" borderId="31" xfId="6" applyNumberFormat="1" applyFont="1" applyFill="1" applyBorder="1" applyAlignment="1">
      <alignment horizontal="center"/>
    </xf>
    <xf numFmtId="0" fontId="12" fillId="0" borderId="31" xfId="6" applyFont="1" applyFill="1" applyBorder="1"/>
    <xf numFmtId="171" fontId="12" fillId="0" borderId="0" xfId="6" applyNumberFormat="1" applyFont="1" applyFill="1" applyAlignment="1">
      <alignment horizontal="center"/>
    </xf>
    <xf numFmtId="16" fontId="49" fillId="0" borderId="31" xfId="6" applyNumberFormat="1" applyFont="1" applyFill="1" applyBorder="1" applyAlignment="1">
      <alignment horizontal="center"/>
    </xf>
    <xf numFmtId="167" fontId="32" fillId="0" borderId="0" xfId="0" applyNumberFormat="1" applyFont="1"/>
    <xf numFmtId="10" fontId="67" fillId="0" borderId="28" xfId="0" applyNumberFormat="1" applyFont="1" applyBorder="1" applyAlignment="1">
      <alignment horizontal="center"/>
    </xf>
    <xf numFmtId="10" fontId="6" fillId="0" borderId="0" xfId="2" applyNumberFormat="1" applyFont="1" applyFill="1" applyBorder="1"/>
    <xf numFmtId="0" fontId="92" fillId="14" borderId="0" xfId="0" applyFont="1" applyFill="1" applyAlignment="1">
      <alignment horizontal="center"/>
    </xf>
    <xf numFmtId="0" fontId="38" fillId="14" borderId="0" xfId="1" applyNumberFormat="1" applyFont="1" applyFill="1" applyAlignment="1">
      <alignment horizontal="center"/>
    </xf>
    <xf numFmtId="0" fontId="93" fillId="14" borderId="77" xfId="0" applyFont="1" applyFill="1" applyBorder="1" applyAlignment="1">
      <alignment horizontal="center"/>
    </xf>
    <xf numFmtId="0" fontId="94" fillId="14" borderId="78" xfId="1" applyNumberFormat="1" applyFont="1" applyFill="1" applyBorder="1" applyAlignment="1">
      <alignment horizontal="center"/>
    </xf>
    <xf numFmtId="0" fontId="94" fillId="14" borderId="79" xfId="1" applyNumberFormat="1" applyFont="1" applyFill="1" applyBorder="1" applyAlignment="1">
      <alignment horizontal="center"/>
    </xf>
    <xf numFmtId="0" fontId="55" fillId="0" borderId="0" xfId="12" applyFont="1" applyAlignment="1">
      <alignment horizontal="centerContinuous"/>
    </xf>
    <xf numFmtId="0" fontId="72" fillId="0" borderId="0" xfId="12" applyFont="1"/>
    <xf numFmtId="0" fontId="55" fillId="0" borderId="0" xfId="12" applyFont="1" applyAlignment="1">
      <alignment horizontal="center"/>
    </xf>
    <xf numFmtId="0" fontId="72" fillId="0" borderId="0" xfId="12" applyFont="1" applyAlignment="1">
      <alignment horizontal="left"/>
    </xf>
    <xf numFmtId="10" fontId="72" fillId="4" borderId="7" xfId="12" applyNumberFormat="1" applyFont="1" applyFill="1" applyBorder="1" applyAlignment="1">
      <alignment horizontal="center"/>
    </xf>
    <xf numFmtId="0" fontId="95" fillId="0" borderId="0" xfId="12" applyFont="1"/>
    <xf numFmtId="0" fontId="72" fillId="4" borderId="7" xfId="12" applyFont="1" applyFill="1" applyBorder="1" applyAlignment="1">
      <alignment horizontal="center"/>
    </xf>
    <xf numFmtId="0" fontId="72" fillId="2" borderId="0" xfId="12" applyFont="1" applyFill="1" applyBorder="1" applyAlignment="1">
      <alignment horizontal="center"/>
    </xf>
    <xf numFmtId="2" fontId="72" fillId="4" borderId="7" xfId="12" applyNumberFormat="1" applyFont="1" applyFill="1" applyBorder="1" applyAlignment="1">
      <alignment horizontal="center"/>
    </xf>
    <xf numFmtId="0" fontId="95" fillId="2" borderId="0" xfId="12" applyFont="1" applyFill="1" applyBorder="1" applyAlignment="1">
      <alignment horizontal="left"/>
    </xf>
    <xf numFmtId="0" fontId="72" fillId="0" borderId="0" xfId="12" applyFont="1" applyBorder="1"/>
    <xf numFmtId="0" fontId="96" fillId="0" borderId="7" xfId="12" applyFont="1" applyBorder="1" applyAlignment="1">
      <alignment horizontal="center" wrapText="1"/>
    </xf>
    <xf numFmtId="0" fontId="72" fillId="0" borderId="7" xfId="12" applyFont="1" applyBorder="1" applyAlignment="1">
      <alignment horizontal="center" wrapText="1"/>
    </xf>
    <xf numFmtId="0" fontId="95" fillId="0" borderId="0" xfId="12" applyFont="1" applyAlignment="1">
      <alignment horizontal="center" wrapText="1"/>
    </xf>
    <xf numFmtId="0" fontId="96" fillId="0" borderId="0" xfId="12" applyFont="1" applyAlignment="1">
      <alignment horizontal="center" wrapText="1"/>
    </xf>
    <xf numFmtId="0" fontId="72" fillId="0" borderId="7" xfId="12" applyFont="1" applyBorder="1"/>
    <xf numFmtId="0" fontId="72" fillId="0" borderId="7" xfId="12" applyFont="1" applyBorder="1" applyAlignment="1">
      <alignment horizontal="center"/>
    </xf>
    <xf numFmtId="10" fontId="72" fillId="0" borderId="7" xfId="13" applyNumberFormat="1" applyFont="1" applyBorder="1" applyAlignment="1">
      <alignment horizontal="center"/>
    </xf>
    <xf numFmtId="10" fontId="72" fillId="0" borderId="7" xfId="13" applyNumberFormat="1" applyFont="1" applyBorder="1"/>
    <xf numFmtId="10" fontId="72" fillId="0" borderId="7" xfId="12" applyNumberFormat="1" applyFont="1" applyBorder="1" applyAlignment="1">
      <alignment horizontal="center"/>
    </xf>
    <xf numFmtId="0" fontId="95" fillId="0" borderId="7" xfId="12" applyFont="1" applyBorder="1" applyAlignment="1">
      <alignment horizontal="center"/>
    </xf>
    <xf numFmtId="0" fontId="72" fillId="0" borderId="7" xfId="12" applyFont="1" applyBorder="1" applyAlignment="1">
      <alignment horizontal="center" vertical="center"/>
    </xf>
    <xf numFmtId="0" fontId="72" fillId="0" borderId="7" xfId="12" applyFont="1" applyFill="1" applyBorder="1" applyAlignment="1">
      <alignment horizontal="center"/>
    </xf>
    <xf numFmtId="0" fontId="55" fillId="3" borderId="7" xfId="12" applyFont="1" applyFill="1" applyBorder="1"/>
    <xf numFmtId="0" fontId="55" fillId="3" borderId="7" xfId="12" applyFont="1" applyFill="1" applyBorder="1" applyAlignment="1">
      <alignment horizontal="center"/>
    </xf>
    <xf numFmtId="10" fontId="55" fillId="3" borderId="7" xfId="13" applyNumberFormat="1" applyFont="1" applyFill="1" applyBorder="1" applyAlignment="1">
      <alignment horizontal="center"/>
    </xf>
    <xf numFmtId="10" fontId="55" fillId="3" borderId="7" xfId="13" applyNumberFormat="1" applyFont="1" applyFill="1" applyBorder="1"/>
    <xf numFmtId="10" fontId="55" fillId="3" borderId="7" xfId="12" applyNumberFormat="1" applyFont="1" applyFill="1" applyBorder="1" applyAlignment="1">
      <alignment horizontal="center"/>
    </xf>
    <xf numFmtId="10" fontId="72" fillId="0" borderId="0" xfId="13" applyNumberFormat="1" applyFont="1" applyBorder="1" applyAlignment="1">
      <alignment horizontal="center"/>
    </xf>
    <xf numFmtId="10" fontId="72" fillId="0" borderId="0" xfId="13" applyNumberFormat="1" applyFont="1" applyBorder="1"/>
    <xf numFmtId="10" fontId="72" fillId="0" borderId="0" xfId="12" applyNumberFormat="1" applyFont="1" applyBorder="1" applyAlignment="1">
      <alignment horizontal="center"/>
    </xf>
    <xf numFmtId="0" fontId="55" fillId="0" borderId="0" xfId="12" applyFont="1" applyBorder="1"/>
    <xf numFmtId="0" fontId="72" fillId="0" borderId="29" xfId="12" applyFont="1" applyBorder="1"/>
    <xf numFmtId="0" fontId="72" fillId="0" borderId="29" xfId="12" applyFont="1" applyBorder="1" applyAlignment="1">
      <alignment horizontal="center"/>
    </xf>
    <xf numFmtId="0" fontId="96" fillId="0" borderId="7" xfId="12" applyFont="1" applyBorder="1"/>
    <xf numFmtId="0" fontId="95" fillId="0" borderId="7" xfId="12" applyFont="1" applyBorder="1"/>
    <xf numFmtId="10" fontId="95" fillId="0" borderId="7" xfId="13" applyNumberFormat="1" applyFont="1" applyBorder="1" applyAlignment="1">
      <alignment horizontal="center"/>
    </xf>
    <xf numFmtId="0" fontId="72" fillId="0" borderId="7" xfId="12" applyFont="1" applyBorder="1" applyAlignment="1">
      <alignment horizontal="left"/>
    </xf>
    <xf numFmtId="171" fontId="72" fillId="0" borderId="7" xfId="12" applyNumberFormat="1" applyFont="1" applyBorder="1" applyAlignment="1">
      <alignment horizontal="center"/>
    </xf>
    <xf numFmtId="10" fontId="54" fillId="0" borderId="7" xfId="12" applyNumberFormat="1" applyFont="1" applyBorder="1" applyAlignment="1">
      <alignment horizontal="center"/>
    </xf>
    <xf numFmtId="0" fontId="72" fillId="0" borderId="0" xfId="12" applyFont="1" applyBorder="1" applyAlignment="1">
      <alignment horizontal="left"/>
    </xf>
    <xf numFmtId="171" fontId="72" fillId="0" borderId="26" xfId="12" applyNumberFormat="1" applyFont="1" applyBorder="1" applyAlignment="1">
      <alignment horizontal="center"/>
    </xf>
    <xf numFmtId="10" fontId="72" fillId="0" borderId="26" xfId="12" applyNumberFormat="1" applyFont="1" applyBorder="1" applyAlignment="1">
      <alignment horizontal="center"/>
    </xf>
    <xf numFmtId="0" fontId="95" fillId="0" borderId="26" xfId="12" applyFont="1" applyBorder="1" applyAlignment="1">
      <alignment horizontal="center"/>
    </xf>
    <xf numFmtId="1" fontId="72" fillId="0" borderId="0" xfId="12" applyNumberFormat="1" applyFont="1" applyAlignment="1">
      <alignment horizontal="center"/>
    </xf>
    <xf numFmtId="10" fontId="6" fillId="3" borderId="7" xfId="8" applyNumberFormat="1" applyFont="1" applyFill="1" applyBorder="1"/>
    <xf numFmtId="0" fontId="78" fillId="0" borderId="0" xfId="0" applyFont="1" applyFill="1" applyBorder="1" applyAlignment="1">
      <alignment horizontal="center" vertical="center"/>
    </xf>
    <xf numFmtId="0" fontId="97" fillId="35" borderId="0" xfId="0" applyFont="1" applyFill="1" applyBorder="1" applyAlignment="1">
      <alignment horizontal="center" vertical="center"/>
    </xf>
    <xf numFmtId="0" fontId="98" fillId="35" borderId="0" xfId="0" applyFont="1" applyFill="1" applyBorder="1" applyAlignment="1">
      <alignment horizontal="center" vertical="center"/>
    </xf>
    <xf numFmtId="0" fontId="84" fillId="35" borderId="0" xfId="0" applyNumberFormat="1" applyFont="1" applyFill="1" applyBorder="1" applyAlignment="1">
      <alignment horizontal="center" vertical="center"/>
    </xf>
    <xf numFmtId="0" fontId="84" fillId="35" borderId="0" xfId="0" applyFont="1" applyFill="1" applyBorder="1" applyAlignment="1">
      <alignment horizontal="center" vertical="center"/>
    </xf>
    <xf numFmtId="0" fontId="98" fillId="35" borderId="0" xfId="0" applyFont="1" applyFill="1" applyBorder="1" applyAlignment="1">
      <alignment vertical="center"/>
    </xf>
    <xf numFmtId="0" fontId="82" fillId="36" borderId="0" xfId="0" applyFont="1" applyFill="1" applyBorder="1" applyAlignment="1">
      <alignment vertical="center"/>
    </xf>
    <xf numFmtId="37" fontId="79" fillId="0" borderId="15" xfId="0" applyNumberFormat="1" applyFont="1" applyFill="1" applyBorder="1" applyAlignment="1">
      <alignment vertical="top"/>
    </xf>
    <xf numFmtId="37" fontId="79" fillId="0" borderId="15" xfId="0" applyNumberFormat="1" applyFont="1" applyFill="1" applyBorder="1" applyAlignment="1">
      <alignment vertical="center"/>
    </xf>
    <xf numFmtId="37" fontId="79" fillId="0" borderId="44" xfId="0" applyNumberFormat="1" applyFont="1" applyFill="1" applyBorder="1" applyAlignment="1">
      <alignment vertical="center"/>
    </xf>
    <xf numFmtId="168" fontId="80" fillId="0" borderId="15" xfId="1" applyNumberFormat="1" applyFont="1" applyFill="1" applyBorder="1" applyAlignment="1">
      <alignment vertical="top"/>
    </xf>
    <xf numFmtId="0" fontId="80" fillId="0" borderId="15" xfId="0" applyFont="1" applyFill="1" applyBorder="1" applyAlignment="1">
      <alignment vertical="top"/>
    </xf>
    <xf numFmtId="0" fontId="80" fillId="0" borderId="15" xfId="0" applyFont="1" applyFill="1" applyBorder="1" applyAlignment="1">
      <alignment vertical="center"/>
    </xf>
    <xf numFmtId="0" fontId="80" fillId="0" borderId="44" xfId="0" applyFont="1" applyFill="1" applyBorder="1" applyAlignment="1">
      <alignment vertical="center"/>
    </xf>
    <xf numFmtId="0" fontId="79" fillId="0" borderId="43" xfId="0" applyFont="1" applyFill="1" applyBorder="1" applyAlignment="1">
      <alignment horizontal="left" vertical="top"/>
    </xf>
    <xf numFmtId="0" fontId="79" fillId="0" borderId="15" xfId="0" applyFont="1" applyFill="1" applyBorder="1" applyAlignment="1">
      <alignment horizontal="left" vertical="top"/>
    </xf>
    <xf numFmtId="43" fontId="80" fillId="0" borderId="15" xfId="1" applyFont="1" applyFill="1" applyBorder="1" applyAlignment="1">
      <alignment vertical="top"/>
    </xf>
    <xf numFmtId="43" fontId="79" fillId="0" borderId="15" xfId="1" applyFont="1" applyFill="1" applyBorder="1" applyAlignment="1">
      <alignment vertical="center"/>
    </xf>
    <xf numFmtId="43" fontId="79" fillId="0" borderId="44" xfId="1" applyFont="1" applyFill="1" applyBorder="1" applyAlignment="1">
      <alignment vertical="center"/>
    </xf>
    <xf numFmtId="9" fontId="80" fillId="0" borderId="15" xfId="2" applyFont="1" applyFill="1" applyBorder="1" applyAlignment="1">
      <alignment vertical="top"/>
    </xf>
    <xf numFmtId="9" fontId="79" fillId="0" borderId="15" xfId="2" applyFont="1" applyFill="1" applyBorder="1" applyAlignment="1">
      <alignment vertical="center"/>
    </xf>
    <xf numFmtId="9" fontId="79" fillId="0" borderId="44" xfId="2" applyFont="1" applyFill="1" applyBorder="1" applyAlignment="1">
      <alignment vertical="center"/>
    </xf>
    <xf numFmtId="0" fontId="30" fillId="17" borderId="8" xfId="0" applyFont="1" applyFill="1" applyBorder="1" applyAlignment="1">
      <alignment horizontal="center"/>
    </xf>
    <xf numFmtId="0" fontId="30" fillId="17" borderId="9" xfId="0" applyFont="1" applyFill="1" applyBorder="1" applyAlignment="1">
      <alignment horizontal="center"/>
    </xf>
    <xf numFmtId="0" fontId="30" fillId="17" borderId="10" xfId="0" applyFont="1" applyFill="1" applyBorder="1" applyAlignment="1">
      <alignment horizontal="center"/>
    </xf>
    <xf numFmtId="0" fontId="32" fillId="2" borderId="0" xfId="0" applyFont="1" applyFill="1" applyAlignment="1">
      <alignment horizontal="justify" wrapText="1"/>
    </xf>
    <xf numFmtId="0" fontId="32" fillId="0" borderId="0" xfId="0" applyFont="1" applyAlignment="1">
      <alignment horizontal="right" wrapText="1"/>
    </xf>
    <xf numFmtId="0" fontId="30" fillId="0" borderId="8" xfId="0" applyFont="1" applyBorder="1" applyAlignment="1">
      <alignment horizontal="center"/>
    </xf>
    <xf numFmtId="0" fontId="30" fillId="0" borderId="9" xfId="0" applyFont="1" applyBorder="1" applyAlignment="1">
      <alignment horizontal="center"/>
    </xf>
    <xf numFmtId="0" fontId="30" fillId="0" borderId="10" xfId="0" applyFont="1" applyBorder="1" applyAlignment="1">
      <alignment horizontal="center"/>
    </xf>
    <xf numFmtId="0" fontId="30" fillId="0" borderId="0" xfId="0" applyFont="1" applyBorder="1" applyAlignment="1">
      <alignment horizontal="center"/>
    </xf>
    <xf numFmtId="0" fontId="28" fillId="0" borderId="0" xfId="0" applyFont="1" applyBorder="1" applyAlignment="1">
      <alignment horizontal="center"/>
    </xf>
    <xf numFmtId="0" fontId="37" fillId="32" borderId="8" xfId="5" applyFont="1" applyFill="1" applyBorder="1" applyAlignment="1">
      <alignment horizontal="left"/>
    </xf>
    <xf numFmtId="0" fontId="37" fillId="32" borderId="9" xfId="5" applyFont="1" applyFill="1" applyBorder="1" applyAlignment="1">
      <alignment horizontal="left"/>
    </xf>
    <xf numFmtId="0" fontId="37" fillId="32" borderId="21" xfId="5" applyFont="1" applyFill="1" applyBorder="1" applyAlignment="1">
      <alignment horizontal="left"/>
    </xf>
    <xf numFmtId="0" fontId="37" fillId="32" borderId="35" xfId="5" applyFont="1" applyFill="1" applyBorder="1" applyAlignment="1">
      <alignment horizontal="left"/>
    </xf>
    <xf numFmtId="0" fontId="37" fillId="32" borderId="14" xfId="5" applyFont="1" applyFill="1" applyBorder="1" applyAlignment="1">
      <alignment horizontal="left"/>
    </xf>
    <xf numFmtId="0" fontId="37" fillId="32" borderId="36" xfId="5" applyFont="1" applyFill="1" applyBorder="1" applyAlignment="1">
      <alignment horizontal="left"/>
    </xf>
    <xf numFmtId="15" fontId="40" fillId="32" borderId="17" xfId="0" applyNumberFormat="1" applyFont="1" applyFill="1" applyBorder="1" applyAlignment="1">
      <alignment horizontal="left"/>
    </xf>
    <xf numFmtId="15" fontId="40" fillId="32" borderId="18" xfId="0" applyNumberFormat="1" applyFont="1" applyFill="1" applyBorder="1" applyAlignment="1">
      <alignment horizontal="left"/>
    </xf>
    <xf numFmtId="15" fontId="40" fillId="32" borderId="19" xfId="0" applyNumberFormat="1" applyFont="1" applyFill="1" applyBorder="1" applyAlignment="1">
      <alignment horizontal="left"/>
    </xf>
    <xf numFmtId="0" fontId="41" fillId="32" borderId="8" xfId="0" applyFont="1" applyFill="1" applyBorder="1" applyAlignment="1">
      <alignment horizontal="left"/>
    </xf>
    <xf numFmtId="0" fontId="41" fillId="32" borderId="9" xfId="0" applyFont="1" applyFill="1" applyBorder="1" applyAlignment="1">
      <alignment horizontal="left"/>
    </xf>
    <xf numFmtId="0" fontId="41" fillId="32" borderId="10" xfId="0" applyFont="1" applyFill="1" applyBorder="1" applyAlignment="1">
      <alignment horizontal="left"/>
    </xf>
    <xf numFmtId="0" fontId="41" fillId="32" borderId="21" xfId="0" applyFont="1" applyFill="1" applyBorder="1" applyAlignment="1">
      <alignment horizontal="left"/>
    </xf>
    <xf numFmtId="15" fontId="37" fillId="32" borderId="8" xfId="5" applyNumberFormat="1" applyFont="1" applyFill="1" applyBorder="1" applyAlignment="1">
      <alignment horizontal="left"/>
    </xf>
    <xf numFmtId="15" fontId="37" fillId="32" borderId="9" xfId="5" applyNumberFormat="1" applyFont="1" applyFill="1" applyBorder="1" applyAlignment="1">
      <alignment horizontal="left"/>
    </xf>
    <xf numFmtId="15" fontId="37" fillId="32" borderId="21" xfId="5" applyNumberFormat="1" applyFont="1" applyFill="1" applyBorder="1" applyAlignment="1">
      <alignment horizontal="left"/>
    </xf>
    <xf numFmtId="0" fontId="37" fillId="32" borderId="8" xfId="5" applyFont="1" applyFill="1" applyBorder="1"/>
    <xf numFmtId="0" fontId="37" fillId="32" borderId="9" xfId="5" applyFont="1" applyFill="1" applyBorder="1"/>
    <xf numFmtId="0" fontId="37" fillId="32" borderId="21" xfId="5" applyFont="1" applyFill="1" applyBorder="1"/>
    <xf numFmtId="0" fontId="46" fillId="32" borderId="8" xfId="9" applyFont="1" applyFill="1" applyBorder="1" applyAlignment="1" applyProtection="1">
      <alignment horizontal="left"/>
    </xf>
    <xf numFmtId="0" fontId="46" fillId="32" borderId="9" xfId="9" applyFont="1" applyFill="1" applyBorder="1" applyAlignment="1" applyProtection="1">
      <alignment horizontal="left"/>
    </xf>
    <xf numFmtId="0" fontId="46" fillId="32" borderId="21" xfId="9" applyFont="1" applyFill="1" applyBorder="1" applyAlignment="1" applyProtection="1">
      <alignment horizontal="left"/>
    </xf>
    <xf numFmtId="0" fontId="46" fillId="32" borderId="35" xfId="9" applyFont="1" applyFill="1" applyBorder="1" applyAlignment="1" applyProtection="1">
      <alignment horizontal="left"/>
    </xf>
    <xf numFmtId="0" fontId="46" fillId="32" borderId="14" xfId="9" applyFont="1" applyFill="1" applyBorder="1" applyAlignment="1" applyProtection="1">
      <alignment horizontal="left"/>
    </xf>
    <xf numFmtId="0" fontId="46" fillId="32" borderId="36" xfId="9" applyFont="1" applyFill="1" applyBorder="1" applyAlignment="1" applyProtection="1">
      <alignment horizontal="left"/>
    </xf>
    <xf numFmtId="0" fontId="49" fillId="0" borderId="6" xfId="8" applyFont="1" applyBorder="1" applyAlignment="1">
      <alignment horizontal="center"/>
    </xf>
    <xf numFmtId="0" fontId="6" fillId="0" borderId="6" xfId="8" applyFont="1" applyBorder="1" applyAlignment="1">
      <alignment horizontal="center"/>
    </xf>
    <xf numFmtId="0" fontId="49" fillId="0" borderId="0" xfId="8" applyFont="1" applyAlignment="1">
      <alignment horizontal="center"/>
    </xf>
    <xf numFmtId="15" fontId="45" fillId="32" borderId="17" xfId="8" applyNumberFormat="1" applyFont="1" applyFill="1" applyBorder="1" applyAlignment="1">
      <alignment horizontal="left"/>
    </xf>
    <xf numFmtId="15" fontId="45" fillId="32" borderId="18" xfId="8" applyNumberFormat="1" applyFont="1" applyFill="1" applyBorder="1" applyAlignment="1">
      <alignment horizontal="left"/>
    </xf>
    <xf numFmtId="15" fontId="45" fillId="32" borderId="19" xfId="8" applyNumberFormat="1" applyFont="1" applyFill="1" applyBorder="1" applyAlignment="1">
      <alignment horizontal="left"/>
    </xf>
    <xf numFmtId="0" fontId="6" fillId="32" borderId="8" xfId="8" applyFont="1" applyFill="1" applyBorder="1" applyAlignment="1">
      <alignment horizontal="left"/>
    </xf>
    <xf numFmtId="0" fontId="6" fillId="32" borderId="9" xfId="8" applyFont="1" applyFill="1" applyBorder="1" applyAlignment="1">
      <alignment horizontal="left"/>
    </xf>
    <xf numFmtId="0" fontId="6" fillId="32" borderId="10" xfId="8" applyFont="1" applyFill="1" applyBorder="1" applyAlignment="1">
      <alignment horizontal="left"/>
    </xf>
    <xf numFmtId="0" fontId="6" fillId="32" borderId="21" xfId="8" applyFont="1" applyFill="1" applyBorder="1" applyAlignment="1">
      <alignment horizontal="left"/>
    </xf>
    <xf numFmtId="15" fontId="46" fillId="32" borderId="8" xfId="9" applyNumberFormat="1" applyFont="1" applyFill="1" applyBorder="1" applyAlignment="1" applyProtection="1">
      <alignment horizontal="left"/>
    </xf>
    <xf numFmtId="15" fontId="46" fillId="32" borderId="9" xfId="9" applyNumberFormat="1" applyFont="1" applyFill="1" applyBorder="1" applyAlignment="1" applyProtection="1">
      <alignment horizontal="left"/>
    </xf>
    <xf numFmtId="15" fontId="46" fillId="32" borderId="21" xfId="9" applyNumberFormat="1" applyFont="1" applyFill="1" applyBorder="1" applyAlignment="1" applyProtection="1">
      <alignment horizontal="left"/>
    </xf>
    <xf numFmtId="0" fontId="46" fillId="32" borderId="8" xfId="9" applyFont="1" applyFill="1" applyBorder="1" applyAlignment="1" applyProtection="1"/>
    <xf numFmtId="0" fontId="46" fillId="32" borderId="9" xfId="9" applyFont="1" applyFill="1" applyBorder="1" applyAlignment="1" applyProtection="1"/>
    <xf numFmtId="0" fontId="46" fillId="32" borderId="21" xfId="9" applyFont="1" applyFill="1" applyBorder="1" applyAlignment="1" applyProtection="1"/>
    <xf numFmtId="0" fontId="6" fillId="0" borderId="29" xfId="6" applyFont="1" applyFill="1" applyBorder="1" applyAlignment="1">
      <alignment horizontal="center" vertical="center" wrapText="1"/>
    </xf>
    <xf numFmtId="0" fontId="6" fillId="0" borderId="31" xfId="6" applyFont="1" applyFill="1" applyBorder="1" applyAlignment="1">
      <alignment horizontal="center" vertical="center" wrapText="1"/>
    </xf>
    <xf numFmtId="0" fontId="6" fillId="0" borderId="26" xfId="6" applyFont="1" applyFill="1" applyBorder="1" applyAlignment="1">
      <alignment horizontal="center" vertical="center" wrapText="1"/>
    </xf>
    <xf numFmtId="0" fontId="6" fillId="0" borderId="23" xfId="6" applyFont="1" applyFill="1" applyBorder="1" applyAlignment="1">
      <alignment horizontal="center" vertical="center" wrapText="1"/>
    </xf>
    <xf numFmtId="0" fontId="6" fillId="0" borderId="24" xfId="6" applyFont="1" applyFill="1" applyBorder="1" applyAlignment="1">
      <alignment horizontal="center" vertical="center" wrapText="1"/>
    </xf>
    <xf numFmtId="0" fontId="6" fillId="0" borderId="28" xfId="6" applyFont="1" applyFill="1" applyBorder="1" applyAlignment="1">
      <alignment horizontal="center" vertical="center" wrapText="1"/>
    </xf>
    <xf numFmtId="0" fontId="6" fillId="0" borderId="27" xfId="6" applyFont="1" applyFill="1" applyBorder="1" applyAlignment="1">
      <alignment horizontal="center" vertical="center" wrapText="1"/>
    </xf>
    <xf numFmtId="0" fontId="6" fillId="0" borderId="6" xfId="6" applyFont="1" applyFill="1" applyBorder="1" applyAlignment="1">
      <alignment horizontal="center" vertical="center" wrapText="1"/>
    </xf>
    <xf numFmtId="0" fontId="6" fillId="0" borderId="25" xfId="6" applyFont="1" applyFill="1" applyBorder="1" applyAlignment="1">
      <alignment horizontal="center" vertical="center" wrapText="1"/>
    </xf>
    <xf numFmtId="0" fontId="6" fillId="0" borderId="8" xfId="6" applyFont="1" applyFill="1" applyBorder="1" applyAlignment="1">
      <alignment horizontal="center"/>
    </xf>
    <xf numFmtId="0" fontId="6" fillId="0" borderId="9" xfId="6" applyFont="1" applyFill="1" applyBorder="1" applyAlignment="1">
      <alignment horizontal="center"/>
    </xf>
    <xf numFmtId="0" fontId="6" fillId="0" borderId="10" xfId="6" applyFont="1" applyFill="1" applyBorder="1" applyAlignment="1">
      <alignment horizontal="center"/>
    </xf>
    <xf numFmtId="0" fontId="12" fillId="9" borderId="0" xfId="0" applyFont="1" applyFill="1" applyBorder="1" applyAlignment="1">
      <alignment horizontal="left"/>
    </xf>
    <xf numFmtId="0" fontId="28" fillId="2" borderId="8" xfId="0" applyFont="1" applyFill="1" applyBorder="1" applyAlignment="1">
      <alignment horizontal="center"/>
    </xf>
    <xf numFmtId="0" fontId="28" fillId="2" borderId="9" xfId="0" applyFont="1" applyFill="1" applyBorder="1" applyAlignment="1">
      <alignment horizontal="center"/>
    </xf>
    <xf numFmtId="0" fontId="28" fillId="2" borderId="10" xfId="0" applyFont="1" applyFill="1" applyBorder="1" applyAlignment="1">
      <alignment horizontal="center"/>
    </xf>
    <xf numFmtId="0" fontId="28" fillId="2" borderId="8" xfId="0" applyFont="1" applyFill="1" applyBorder="1" applyAlignment="1">
      <alignment horizontal="center" vertical="center" wrapText="1"/>
    </xf>
    <xf numFmtId="0" fontId="28" fillId="2" borderId="9" xfId="0" applyFont="1" applyFill="1" applyBorder="1" applyAlignment="1">
      <alignment horizontal="center" vertical="center" wrapText="1"/>
    </xf>
    <xf numFmtId="168" fontId="28" fillId="0" borderId="9" xfId="0" applyNumberFormat="1" applyFont="1" applyFill="1" applyBorder="1" applyAlignment="1">
      <alignment horizontal="center" vertical="center" wrapText="1"/>
    </xf>
    <xf numFmtId="0" fontId="27" fillId="0" borderId="23" xfId="0" applyFont="1" applyFill="1" applyBorder="1" applyAlignment="1">
      <alignment horizontal="left"/>
    </xf>
    <xf numFmtId="0" fontId="27" fillId="0" borderId="24" xfId="0" applyFont="1" applyFill="1" applyBorder="1" applyAlignment="1">
      <alignment horizontal="left"/>
    </xf>
    <xf numFmtId="168" fontId="27" fillId="0" borderId="24" xfId="0" applyNumberFormat="1" applyFont="1" applyFill="1" applyBorder="1" applyAlignment="1">
      <alignment horizontal="center"/>
    </xf>
    <xf numFmtId="0" fontId="27" fillId="0" borderId="30" xfId="0" applyFont="1" applyFill="1" applyBorder="1" applyAlignment="1">
      <alignment horizontal="left"/>
    </xf>
    <xf numFmtId="0" fontId="27" fillId="0" borderId="0" xfId="0" applyFont="1" applyFill="1" applyBorder="1" applyAlignment="1">
      <alignment horizontal="left"/>
    </xf>
    <xf numFmtId="168" fontId="27" fillId="0" borderId="0" xfId="0" applyNumberFormat="1" applyFont="1" applyFill="1" applyBorder="1" applyAlignment="1">
      <alignment horizontal="center"/>
    </xf>
    <xf numFmtId="168" fontId="27" fillId="0" borderId="9" xfId="0" applyNumberFormat="1" applyFont="1" applyFill="1" applyBorder="1" applyAlignment="1">
      <alignment horizontal="center"/>
    </xf>
    <xf numFmtId="0" fontId="28" fillId="0" borderId="8" xfId="0" applyFont="1" applyFill="1" applyBorder="1" applyAlignment="1">
      <alignment horizontal="left"/>
    </xf>
    <xf numFmtId="0" fontId="28" fillId="0" borderId="9" xfId="0" applyFont="1" applyFill="1" applyBorder="1" applyAlignment="1">
      <alignment horizontal="left"/>
    </xf>
    <xf numFmtId="168" fontId="28" fillId="0" borderId="9" xfId="0" applyNumberFormat="1" applyFont="1" applyFill="1" applyBorder="1" applyAlignment="1">
      <alignment horizontal="center"/>
    </xf>
    <xf numFmtId="0" fontId="12" fillId="2" borderId="23" xfId="0" applyFont="1" applyFill="1" applyBorder="1" applyAlignment="1">
      <alignment horizontal="center"/>
    </xf>
    <xf numFmtId="0" fontId="12" fillId="2" borderId="24" xfId="0" applyFont="1" applyFill="1" applyBorder="1" applyAlignment="1">
      <alignment horizontal="center"/>
    </xf>
    <xf numFmtId="0" fontId="18" fillId="2" borderId="27" xfId="0" applyFont="1" applyFill="1" applyBorder="1" applyAlignment="1">
      <alignment horizontal="center"/>
    </xf>
    <xf numFmtId="0" fontId="18" fillId="2" borderId="6" xfId="0" applyFont="1" applyFill="1" applyBorder="1" applyAlignment="1">
      <alignment horizontal="center"/>
    </xf>
    <xf numFmtId="0" fontId="6" fillId="2" borderId="27" xfId="0" applyFont="1" applyFill="1" applyBorder="1" applyAlignment="1">
      <alignment horizontal="center"/>
    </xf>
    <xf numFmtId="0" fontId="6" fillId="2" borderId="6" xfId="0" applyFont="1" applyFill="1" applyBorder="1" applyAlignment="1">
      <alignment horizontal="center"/>
    </xf>
    <xf numFmtId="0" fontId="18" fillId="12" borderId="23" xfId="0" applyFont="1" applyFill="1" applyBorder="1" applyAlignment="1">
      <alignment horizontal="center"/>
    </xf>
    <xf numFmtId="0" fontId="18" fillId="12" borderId="24" xfId="0" applyFont="1" applyFill="1" applyBorder="1" applyAlignment="1">
      <alignment horizontal="center"/>
    </xf>
    <xf numFmtId="0" fontId="19" fillId="12" borderId="27" xfId="0" applyFont="1" applyFill="1" applyBorder="1" applyAlignment="1">
      <alignment horizontal="center"/>
    </xf>
    <xf numFmtId="0" fontId="19" fillId="12" borderId="6" xfId="0" applyFont="1" applyFill="1" applyBorder="1" applyAlignment="1">
      <alignment horizontal="center"/>
    </xf>
    <xf numFmtId="0" fontId="18" fillId="2" borderId="23" xfId="0" applyFont="1" applyFill="1" applyBorder="1" applyAlignment="1">
      <alignment horizontal="center"/>
    </xf>
    <xf numFmtId="0" fontId="18" fillId="2" borderId="24" xfId="0" applyFont="1" applyFill="1" applyBorder="1" applyAlignment="1">
      <alignment horizontal="center"/>
    </xf>
    <xf numFmtId="0" fontId="30" fillId="0" borderId="40" xfId="0" applyFont="1" applyBorder="1" applyAlignment="1">
      <alignment horizontal="center"/>
    </xf>
    <xf numFmtId="0" fontId="30" fillId="0" borderId="41" xfId="0" applyFont="1" applyBorder="1" applyAlignment="1">
      <alignment horizontal="center"/>
    </xf>
    <xf numFmtId="0" fontId="30" fillId="0" borderId="42" xfId="0" applyFont="1" applyBorder="1" applyAlignment="1">
      <alignment horizontal="center"/>
    </xf>
    <xf numFmtId="0" fontId="12" fillId="2" borderId="30" xfId="0" applyFont="1" applyFill="1" applyBorder="1" applyAlignment="1">
      <alignment horizontal="center"/>
    </xf>
    <xf numFmtId="0" fontId="12" fillId="2" borderId="39" xfId="0" applyFont="1" applyFill="1" applyBorder="1" applyAlignment="1">
      <alignment horizontal="center"/>
    </xf>
    <xf numFmtId="0" fontId="18" fillId="2" borderId="25" xfId="0" applyFont="1" applyFill="1" applyBorder="1" applyAlignment="1">
      <alignment horizontal="center"/>
    </xf>
    <xf numFmtId="0" fontId="18" fillId="2" borderId="23" xfId="0" applyFont="1" applyFill="1" applyBorder="1" applyAlignment="1">
      <alignment horizontal="center" wrapText="1"/>
    </xf>
    <xf numFmtId="0" fontId="18" fillId="2" borderId="28" xfId="0" applyFont="1" applyFill="1" applyBorder="1" applyAlignment="1">
      <alignment horizontal="center" wrapText="1"/>
    </xf>
    <xf numFmtId="0" fontId="18" fillId="2" borderId="27" xfId="0" applyFont="1" applyFill="1" applyBorder="1" applyAlignment="1">
      <alignment horizontal="center" wrapText="1"/>
    </xf>
    <xf numFmtId="0" fontId="18" fillId="2" borderId="25" xfId="0" applyFont="1" applyFill="1" applyBorder="1" applyAlignment="1">
      <alignment horizontal="center" wrapText="1"/>
    </xf>
    <xf numFmtId="0" fontId="30" fillId="0" borderId="7" xfId="0" applyFont="1" applyBorder="1" applyAlignment="1">
      <alignment horizontal="center"/>
    </xf>
    <xf numFmtId="0" fontId="19" fillId="12" borderId="25" xfId="0" applyFont="1" applyFill="1" applyBorder="1" applyAlignment="1">
      <alignment horizontal="center"/>
    </xf>
    <xf numFmtId="0" fontId="16" fillId="12" borderId="27" xfId="0" applyFont="1" applyFill="1" applyBorder="1" applyAlignment="1">
      <alignment horizontal="center"/>
    </xf>
    <xf numFmtId="0" fontId="16" fillId="12" borderId="6" xfId="0" applyFont="1" applyFill="1" applyBorder="1" applyAlignment="1">
      <alignment horizontal="center"/>
    </xf>
    <xf numFmtId="0" fontId="16" fillId="12" borderId="25" xfId="0" applyFont="1" applyFill="1" applyBorder="1" applyAlignment="1">
      <alignment horizontal="center"/>
    </xf>
    <xf numFmtId="0" fontId="18" fillId="2" borderId="30" xfId="0" applyFont="1" applyFill="1" applyBorder="1" applyAlignment="1">
      <alignment horizontal="center"/>
    </xf>
    <xf numFmtId="0" fontId="18" fillId="2" borderId="39" xfId="0" applyFont="1" applyFill="1" applyBorder="1" applyAlignment="1">
      <alignment horizontal="center"/>
    </xf>
    <xf numFmtId="0" fontId="16" fillId="2" borderId="23" xfId="0" applyFont="1" applyFill="1" applyBorder="1" applyAlignment="1">
      <alignment horizontal="center"/>
    </xf>
    <xf numFmtId="0" fontId="16" fillId="2" borderId="24" xfId="0" applyFont="1" applyFill="1" applyBorder="1" applyAlignment="1">
      <alignment horizontal="center"/>
    </xf>
    <xf numFmtId="0" fontId="16" fillId="2" borderId="28" xfId="0" applyFont="1" applyFill="1" applyBorder="1" applyAlignment="1">
      <alignment horizontal="center"/>
    </xf>
    <xf numFmtId="0" fontId="6" fillId="2" borderId="25" xfId="0" applyFont="1" applyFill="1" applyBorder="1" applyAlignment="1">
      <alignment horizontal="center"/>
    </xf>
    <xf numFmtId="0" fontId="17" fillId="2" borderId="27" xfId="0" applyFont="1" applyFill="1" applyBorder="1" applyAlignment="1">
      <alignment horizontal="center"/>
    </xf>
    <xf numFmtId="0" fontId="17" fillId="2" borderId="6" xfId="0" applyFont="1" applyFill="1" applyBorder="1" applyAlignment="1">
      <alignment horizontal="center"/>
    </xf>
    <xf numFmtId="0" fontId="17" fillId="2" borderId="25" xfId="0" applyFont="1" applyFill="1" applyBorder="1" applyAlignment="1">
      <alignment horizontal="center"/>
    </xf>
    <xf numFmtId="0" fontId="18" fillId="12" borderId="28" xfId="0" applyFont="1" applyFill="1" applyBorder="1" applyAlignment="1">
      <alignment horizontal="center"/>
    </xf>
    <xf numFmtId="0" fontId="16" fillId="12" borderId="23" xfId="0" applyFont="1" applyFill="1" applyBorder="1" applyAlignment="1">
      <alignment horizontal="center"/>
    </xf>
    <xf numFmtId="0" fontId="16" fillId="12" borderId="24" xfId="0" applyFont="1" applyFill="1" applyBorder="1" applyAlignment="1">
      <alignment horizontal="center"/>
    </xf>
    <xf numFmtId="0" fontId="16" fillId="12" borderId="28" xfId="0" applyFont="1" applyFill="1" applyBorder="1" applyAlignment="1">
      <alignment horizontal="center"/>
    </xf>
    <xf numFmtId="0" fontId="18" fillId="12" borderId="30" xfId="0" applyFont="1" applyFill="1" applyBorder="1" applyAlignment="1">
      <alignment horizontal="center"/>
    </xf>
    <xf numFmtId="0" fontId="18" fillId="12" borderId="39" xfId="0" applyFont="1" applyFill="1" applyBorder="1" applyAlignment="1">
      <alignment horizontal="center"/>
    </xf>
    <xf numFmtId="0" fontId="16" fillId="12" borderId="23" xfId="0" applyFont="1" applyFill="1" applyBorder="1" applyAlignment="1">
      <alignment horizontal="left"/>
    </xf>
    <xf numFmtId="0" fontId="16" fillId="12" borderId="24" xfId="0" applyFont="1" applyFill="1" applyBorder="1" applyAlignment="1">
      <alignment horizontal="left"/>
    </xf>
    <xf numFmtId="0" fontId="16" fillId="12" borderId="28" xfId="0" applyFont="1" applyFill="1" applyBorder="1" applyAlignment="1">
      <alignment horizontal="left"/>
    </xf>
    <xf numFmtId="0" fontId="17" fillId="12" borderId="27" xfId="0" applyFont="1" applyFill="1" applyBorder="1" applyAlignment="1">
      <alignment horizontal="center"/>
    </xf>
    <xf numFmtId="0" fontId="17" fillId="12" borderId="6" xfId="0" applyFont="1" applyFill="1" applyBorder="1" applyAlignment="1">
      <alignment horizontal="center"/>
    </xf>
    <xf numFmtId="0" fontId="17" fillId="12" borderId="25" xfId="0" applyFont="1" applyFill="1" applyBorder="1" applyAlignment="1">
      <alignment horizontal="center"/>
    </xf>
    <xf numFmtId="0" fontId="28" fillId="8" borderId="29" xfId="0" applyFont="1" applyFill="1" applyBorder="1" applyAlignment="1">
      <alignment horizontal="center" vertical="center"/>
    </xf>
    <xf numFmtId="0" fontId="28" fillId="8" borderId="26" xfId="0" applyFont="1" applyFill="1" applyBorder="1" applyAlignment="1">
      <alignment horizontal="center" vertical="center"/>
    </xf>
    <xf numFmtId="0" fontId="30" fillId="11" borderId="23" xfId="0" applyFont="1" applyFill="1" applyBorder="1" applyAlignment="1">
      <alignment horizontal="center" vertical="center"/>
    </xf>
    <xf numFmtId="0" fontId="30" fillId="11" borderId="28" xfId="0" applyFont="1" applyFill="1" applyBorder="1" applyAlignment="1">
      <alignment horizontal="center" vertical="center"/>
    </xf>
    <xf numFmtId="0" fontId="30" fillId="11" borderId="27"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4" xfId="0" applyFont="1" applyFill="1" applyBorder="1" applyAlignment="1">
      <alignment horizontal="center" vertical="center"/>
    </xf>
    <xf numFmtId="0" fontId="30" fillId="11" borderId="6" xfId="0" applyFont="1" applyFill="1" applyBorder="1" applyAlignment="1">
      <alignment horizontal="center" vertical="center"/>
    </xf>
    <xf numFmtId="0" fontId="30" fillId="13" borderId="29" xfId="0" applyFont="1" applyFill="1" applyBorder="1" applyAlignment="1">
      <alignment horizontal="center" vertical="center"/>
    </xf>
    <xf numFmtId="0" fontId="30" fillId="13" borderId="26" xfId="0" applyFont="1" applyFill="1" applyBorder="1" applyAlignment="1">
      <alignment horizontal="center" vertical="center"/>
    </xf>
    <xf numFmtId="0" fontId="30" fillId="11" borderId="29" xfId="0" applyFont="1" applyFill="1" applyBorder="1" applyAlignment="1">
      <alignment horizontal="center" vertical="center"/>
    </xf>
    <xf numFmtId="0" fontId="30" fillId="11" borderId="26" xfId="0" applyFont="1" applyFill="1" applyBorder="1" applyAlignment="1">
      <alignment horizontal="center" vertical="center"/>
    </xf>
    <xf numFmtId="0" fontId="32" fillId="0" borderId="0" xfId="0" applyFont="1" applyAlignment="1">
      <alignment horizontal="justify" wrapText="1"/>
    </xf>
    <xf numFmtId="0" fontId="32" fillId="0" borderId="0" xfId="0" applyNumberFormat="1" applyFont="1" applyAlignment="1">
      <alignment horizontal="justify" vertical="top" wrapText="1"/>
    </xf>
    <xf numFmtId="0" fontId="32" fillId="0" borderId="8" xfId="0" applyFont="1" applyBorder="1" applyAlignment="1">
      <alignment horizontal="center"/>
    </xf>
    <xf numFmtId="0" fontId="32" fillId="0" borderId="9" xfId="0" applyFont="1" applyBorder="1" applyAlignment="1">
      <alignment horizontal="center"/>
    </xf>
    <xf numFmtId="0" fontId="32" fillId="0" borderId="10" xfId="0" applyFont="1" applyBorder="1" applyAlignment="1">
      <alignment horizontal="center"/>
    </xf>
    <xf numFmtId="0" fontId="32" fillId="0" borderId="0" xfId="0" applyFont="1" applyBorder="1" applyAlignment="1">
      <alignment horizontal="center"/>
    </xf>
    <xf numFmtId="0" fontId="32" fillId="0" borderId="0" xfId="0" applyFont="1" applyAlignment="1">
      <alignment horizontal="justify" vertical="top" wrapText="1"/>
    </xf>
    <xf numFmtId="0" fontId="30" fillId="0" borderId="29" xfId="0" applyFont="1" applyBorder="1" applyAlignment="1">
      <alignment horizontal="center" vertical="center" wrapText="1"/>
    </xf>
    <xf numFmtId="0" fontId="30" fillId="0" borderId="26" xfId="0" applyFont="1" applyBorder="1" applyAlignment="1">
      <alignment horizontal="center" vertical="center" wrapText="1"/>
    </xf>
    <xf numFmtId="43" fontId="32" fillId="0" borderId="8" xfId="1" applyFont="1" applyBorder="1" applyAlignment="1">
      <alignment horizontal="center"/>
    </xf>
    <xf numFmtId="43" fontId="32" fillId="0" borderId="9" xfId="1" applyFont="1" applyBorder="1" applyAlignment="1">
      <alignment horizontal="center"/>
    </xf>
    <xf numFmtId="43" fontId="32" fillId="0" borderId="10" xfId="1" applyFont="1" applyBorder="1" applyAlignment="1">
      <alignment horizontal="center"/>
    </xf>
    <xf numFmtId="0" fontId="55" fillId="2" borderId="8" xfId="0" applyFont="1" applyFill="1" applyBorder="1" applyAlignment="1">
      <alignment horizontal="left"/>
    </xf>
    <xf numFmtId="0" fontId="55" fillId="2" borderId="9" xfId="0" applyFont="1" applyFill="1" applyBorder="1" applyAlignment="1">
      <alignment horizontal="left"/>
    </xf>
    <xf numFmtId="0" fontId="55" fillId="2" borderId="10" xfId="0" applyFont="1" applyFill="1" applyBorder="1" applyAlignment="1">
      <alignment horizontal="left"/>
    </xf>
    <xf numFmtId="0" fontId="55" fillId="9" borderId="7" xfId="0" applyFont="1" applyFill="1" applyBorder="1" applyAlignment="1">
      <alignment horizontal="left"/>
    </xf>
    <xf numFmtId="0" fontId="30" fillId="9" borderId="7" xfId="0" applyFont="1" applyFill="1" applyBorder="1" applyAlignment="1">
      <alignment horizontal="left"/>
    </xf>
    <xf numFmtId="0" fontId="67" fillId="0" borderId="8" xfId="0" applyFont="1" applyBorder="1" applyAlignment="1">
      <alignment horizontal="center"/>
    </xf>
    <xf numFmtId="0" fontId="67" fillId="0" borderId="9" xfId="0" applyFont="1" applyBorder="1" applyAlignment="1">
      <alignment horizontal="center"/>
    </xf>
    <xf numFmtId="0" fontId="67" fillId="0" borderId="10" xfId="0" applyFont="1" applyBorder="1" applyAlignment="1">
      <alignment horizontal="center"/>
    </xf>
    <xf numFmtId="0" fontId="30" fillId="2" borderId="0" xfId="0" applyFont="1" applyFill="1" applyBorder="1" applyAlignment="1">
      <alignment horizontal="justify" wrapText="1"/>
    </xf>
    <xf numFmtId="0" fontId="0" fillId="0" borderId="8" xfId="0" applyBorder="1" applyAlignment="1">
      <alignment horizontal="center"/>
    </xf>
    <xf numFmtId="0" fontId="0" fillId="0" borderId="10" xfId="0" applyBorder="1" applyAlignment="1">
      <alignment horizontal="center"/>
    </xf>
    <xf numFmtId="189" fontId="29" fillId="2" borderId="6" xfId="0" applyNumberFormat="1" applyFont="1" applyFill="1" applyBorder="1" applyAlignment="1">
      <alignment horizontal="center" wrapText="1"/>
    </xf>
    <xf numFmtId="0" fontId="30" fillId="2" borderId="1" xfId="0" applyFont="1" applyFill="1" applyBorder="1" applyAlignment="1">
      <alignment horizontal="center"/>
    </xf>
    <xf numFmtId="0" fontId="30" fillId="2" borderId="2" xfId="0" applyFont="1" applyFill="1" applyBorder="1" applyAlignment="1">
      <alignment horizontal="center"/>
    </xf>
    <xf numFmtId="0" fontId="30" fillId="2" borderId="3" xfId="0" applyFont="1" applyFill="1" applyBorder="1" applyAlignment="1">
      <alignment horizontal="center"/>
    </xf>
    <xf numFmtId="0" fontId="30" fillId="2" borderId="12" xfId="0" applyFont="1" applyFill="1" applyBorder="1" applyAlignment="1">
      <alignment horizontal="left" wrapText="1"/>
    </xf>
    <xf numFmtId="0" fontId="30" fillId="2" borderId="13" xfId="0" applyFont="1" applyFill="1" applyBorder="1" applyAlignment="1">
      <alignment horizontal="left" wrapText="1"/>
    </xf>
    <xf numFmtId="0" fontId="30" fillId="2" borderId="23" xfId="0" applyFont="1" applyFill="1" applyBorder="1" applyAlignment="1">
      <alignment horizontal="center"/>
    </xf>
    <xf numFmtId="0" fontId="30" fillId="2" borderId="24" xfId="0" applyFont="1" applyFill="1" applyBorder="1" applyAlignment="1">
      <alignment horizontal="center"/>
    </xf>
    <xf numFmtId="0" fontId="30" fillId="2" borderId="28" xfId="0" applyFont="1" applyFill="1" applyBorder="1" applyAlignment="1">
      <alignment horizontal="center"/>
    </xf>
    <xf numFmtId="0" fontId="78" fillId="0" borderId="43" xfId="0" applyFont="1" applyFill="1" applyBorder="1" applyAlignment="1">
      <alignment horizontal="left" vertical="top"/>
    </xf>
    <xf numFmtId="0" fontId="78" fillId="0" borderId="15" xfId="0" applyFont="1" applyFill="1" applyBorder="1" applyAlignment="1">
      <alignment horizontal="left" vertical="top"/>
    </xf>
    <xf numFmtId="0" fontId="79" fillId="0" borderId="43" xfId="0" applyFont="1" applyFill="1" applyBorder="1" applyAlignment="1">
      <alignment horizontal="left" vertical="top"/>
    </xf>
    <xf numFmtId="0" fontId="79" fillId="0" borderId="15" xfId="0" applyFont="1" applyFill="1" applyBorder="1" applyAlignment="1">
      <alignment horizontal="left" vertical="top"/>
    </xf>
    <xf numFmtId="0" fontId="74" fillId="33" borderId="80" xfId="0" applyFont="1" applyFill="1" applyBorder="1" applyAlignment="1">
      <alignment horizontal="center" vertical="center"/>
    </xf>
    <xf numFmtId="0" fontId="74" fillId="33" borderId="81" xfId="0" applyFont="1" applyFill="1" applyBorder="1" applyAlignment="1">
      <alignment horizontal="center" vertical="center"/>
    </xf>
    <xf numFmtId="0" fontId="74" fillId="33" borderId="82" xfId="0" applyFont="1" applyFill="1" applyBorder="1" applyAlignment="1">
      <alignment horizontal="center" vertical="center"/>
    </xf>
    <xf numFmtId="0" fontId="78" fillId="0" borderId="0" xfId="0" applyFont="1" applyFill="1" applyBorder="1" applyAlignment="1">
      <alignment horizontal="left" vertical="center"/>
    </xf>
    <xf numFmtId="0" fontId="80" fillId="0" borderId="43" xfId="0" applyFont="1" applyFill="1" applyBorder="1" applyAlignment="1">
      <alignment horizontal="center" vertical="top"/>
    </xf>
    <xf numFmtId="0" fontId="80" fillId="0" borderId="15" xfId="0" applyFont="1" applyFill="1" applyBorder="1" applyAlignment="1">
      <alignment horizontal="center" vertical="top"/>
    </xf>
    <xf numFmtId="0" fontId="82" fillId="36" borderId="0" xfId="0" applyFont="1" applyFill="1" applyBorder="1" applyAlignment="1">
      <alignment horizontal="left" vertical="center"/>
    </xf>
    <xf numFmtId="0" fontId="81" fillId="0" borderId="43" xfId="0" applyFont="1" applyFill="1" applyBorder="1" applyAlignment="1">
      <alignment horizontal="left" vertical="top"/>
    </xf>
    <xf numFmtId="0" fontId="81" fillId="0" borderId="15" xfId="0" applyFont="1" applyFill="1" applyBorder="1" applyAlignment="1">
      <alignment horizontal="left" vertical="top"/>
    </xf>
    <xf numFmtId="0" fontId="57" fillId="19" borderId="51" xfId="6" applyFont="1" applyFill="1" applyBorder="1" applyAlignment="1">
      <alignment horizontal="left" vertical="center"/>
    </xf>
    <xf numFmtId="0" fontId="57" fillId="19" borderId="52" xfId="6" applyFont="1" applyFill="1" applyBorder="1" applyAlignment="1">
      <alignment horizontal="left" vertical="center"/>
    </xf>
    <xf numFmtId="0" fontId="57" fillId="19" borderId="53" xfId="6" applyFont="1" applyFill="1" applyBorder="1" applyAlignment="1">
      <alignment horizontal="left" vertical="center"/>
    </xf>
    <xf numFmtId="0" fontId="88" fillId="0" borderId="0" xfId="0" applyFont="1" applyAlignment="1">
      <alignment horizontal="justify" vertical="center" wrapText="1"/>
    </xf>
    <xf numFmtId="0" fontId="90" fillId="0" borderId="0" xfId="0" applyFont="1" applyAlignment="1">
      <alignment horizontal="center" vertical="center"/>
    </xf>
    <xf numFmtId="0" fontId="87" fillId="0" borderId="0" xfId="0" applyFont="1" applyAlignment="1">
      <alignment horizontal="left" vertical="center"/>
    </xf>
    <xf numFmtId="0" fontId="12" fillId="26" borderId="8" xfId="6" applyFont="1" applyFill="1" applyBorder="1" applyAlignment="1">
      <alignment horizontal="center"/>
    </xf>
    <xf numFmtId="0" fontId="12" fillId="26" borderId="9" xfId="6" applyFont="1" applyFill="1" applyBorder="1" applyAlignment="1">
      <alignment horizontal="center"/>
    </xf>
    <xf numFmtId="0" fontId="12" fillId="26" borderId="10" xfId="6" applyFont="1" applyFill="1" applyBorder="1" applyAlignment="1">
      <alignment horizontal="center"/>
    </xf>
    <xf numFmtId="49" fontId="62" fillId="0" borderId="24" xfId="6" applyNumberFormat="1" applyFont="1" applyFill="1" applyBorder="1" applyAlignment="1">
      <alignment horizontal="justify" vertical="center" wrapText="1"/>
    </xf>
    <xf numFmtId="0" fontId="61" fillId="0" borderId="24" xfId="6" applyFont="1" applyBorder="1" applyAlignment="1">
      <alignment horizontal="justify" vertical="center" wrapText="1"/>
    </xf>
    <xf numFmtId="0" fontId="18" fillId="0" borderId="0" xfId="6" applyFont="1" applyBorder="1" applyAlignment="1">
      <alignment horizontal="left" vertical="center" wrapText="1"/>
    </xf>
    <xf numFmtId="0" fontId="18" fillId="0" borderId="0" xfId="6" applyFont="1" applyBorder="1" applyAlignment="1">
      <alignment horizontal="left" vertical="center" wrapText="1" indent="2"/>
    </xf>
    <xf numFmtId="0" fontId="62" fillId="0" borderId="54" xfId="6" applyFont="1" applyBorder="1" applyAlignment="1">
      <alignment horizontal="center" vertical="center"/>
    </xf>
    <xf numFmtId="0" fontId="61" fillId="0" borderId="56" xfId="6" applyFont="1" applyBorder="1" applyAlignment="1">
      <alignment horizontal="center" vertical="center"/>
    </xf>
    <xf numFmtId="0" fontId="62" fillId="0" borderId="55" xfId="6" applyFont="1" applyBorder="1" applyAlignment="1">
      <alignment horizontal="center" vertical="center" wrapText="1"/>
    </xf>
    <xf numFmtId="0" fontId="62" fillId="0" borderId="9" xfId="6" applyFont="1" applyBorder="1" applyAlignment="1">
      <alignment horizontal="center" vertical="center" wrapText="1"/>
    </xf>
    <xf numFmtId="0" fontId="12" fillId="0" borderId="0" xfId="17" applyFont="1" applyAlignment="1">
      <alignment horizontal="left"/>
    </xf>
    <xf numFmtId="0" fontId="71" fillId="0" borderId="0" xfId="17" applyFont="1" applyAlignment="1">
      <alignment horizontal="left"/>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168" fontId="27" fillId="9" borderId="30" xfId="1" applyNumberFormat="1" applyFont="1" applyFill="1" applyBorder="1" applyAlignment="1">
      <alignment horizontal="justify" vertical="top" wrapText="1"/>
    </xf>
    <xf numFmtId="168" fontId="27" fillId="9" borderId="0" xfId="1" applyNumberFormat="1" applyFont="1" applyFill="1" applyBorder="1" applyAlignment="1">
      <alignment horizontal="justify" vertical="top" wrapText="1"/>
    </xf>
    <xf numFmtId="168" fontId="27" fillId="9" borderId="39" xfId="1" applyNumberFormat="1" applyFont="1" applyFill="1" applyBorder="1" applyAlignment="1">
      <alignment horizontal="justify" vertical="top" wrapText="1"/>
    </xf>
    <xf numFmtId="168" fontId="27" fillId="9" borderId="61" xfId="1" applyNumberFormat="1" applyFont="1" applyFill="1" applyBorder="1" applyAlignment="1">
      <alignment horizontal="justify" vertical="top" wrapText="1"/>
    </xf>
    <xf numFmtId="168" fontId="27" fillId="9" borderId="62" xfId="1" applyNumberFormat="1" applyFont="1" applyFill="1" applyBorder="1" applyAlignment="1">
      <alignment horizontal="justify" vertical="top" wrapText="1"/>
    </xf>
    <xf numFmtId="168" fontId="27" fillId="9" borderId="63" xfId="1" applyNumberFormat="1" applyFont="1" applyFill="1" applyBorder="1" applyAlignment="1">
      <alignment horizontal="justify" vertical="top" wrapText="1"/>
    </xf>
    <xf numFmtId="168" fontId="27" fillId="9" borderId="64" xfId="1" applyNumberFormat="1" applyFont="1" applyFill="1" applyBorder="1" applyAlignment="1">
      <alignment horizontal="justify" vertical="top" wrapText="1"/>
    </xf>
    <xf numFmtId="168" fontId="27" fillId="9" borderId="65" xfId="1" applyNumberFormat="1" applyFont="1" applyFill="1" applyBorder="1" applyAlignment="1">
      <alignment horizontal="justify" vertical="top" wrapText="1"/>
    </xf>
    <xf numFmtId="168" fontId="27" fillId="9" borderId="66" xfId="1" applyNumberFormat="1" applyFont="1" applyFill="1" applyBorder="1" applyAlignment="1">
      <alignment horizontal="justify" vertical="top" wrapText="1"/>
    </xf>
    <xf numFmtId="0" fontId="27" fillId="9" borderId="30" xfId="1" applyNumberFormat="1" applyFont="1" applyFill="1" applyBorder="1" applyAlignment="1">
      <alignment horizontal="justify" vertical="top" wrapText="1"/>
    </xf>
    <xf numFmtId="0" fontId="27" fillId="9" borderId="0" xfId="1" applyNumberFormat="1" applyFont="1" applyFill="1" applyBorder="1" applyAlignment="1">
      <alignment horizontal="justify" vertical="top" wrapText="1"/>
    </xf>
    <xf numFmtId="0" fontId="27" fillId="9" borderId="39" xfId="1" applyNumberFormat="1" applyFont="1" applyFill="1" applyBorder="1" applyAlignment="1">
      <alignment horizontal="justify" vertical="top" wrapText="1"/>
    </xf>
    <xf numFmtId="0" fontId="27" fillId="9" borderId="61" xfId="1" applyNumberFormat="1" applyFont="1" applyFill="1" applyBorder="1" applyAlignment="1">
      <alignment horizontal="justify" vertical="top" wrapText="1"/>
    </xf>
    <xf numFmtId="0" fontId="27" fillId="9" borderId="62" xfId="1" applyNumberFormat="1" applyFont="1" applyFill="1" applyBorder="1" applyAlignment="1">
      <alignment horizontal="justify" vertical="top" wrapText="1"/>
    </xf>
    <xf numFmtId="0" fontId="27" fillId="9" borderId="63" xfId="1" applyNumberFormat="1" applyFont="1" applyFill="1" applyBorder="1" applyAlignment="1">
      <alignment horizontal="justify" vertical="top" wrapText="1"/>
    </xf>
    <xf numFmtId="168" fontId="28" fillId="9" borderId="8" xfId="1" applyNumberFormat="1" applyFont="1" applyFill="1" applyBorder="1" applyAlignment="1">
      <alignment horizontal="center" vertical="center" wrapText="1"/>
    </xf>
    <xf numFmtId="168" fontId="28" fillId="9" borderId="9" xfId="1" applyNumberFormat="1" applyFont="1" applyFill="1" applyBorder="1" applyAlignment="1">
      <alignment horizontal="center" vertical="center" wrapText="1"/>
    </xf>
    <xf numFmtId="168" fontId="28" fillId="9" borderId="10" xfId="1" applyNumberFormat="1" applyFont="1" applyFill="1" applyBorder="1" applyAlignment="1">
      <alignment horizontal="center" vertical="center" wrapText="1"/>
    </xf>
    <xf numFmtId="168" fontId="27" fillId="9" borderId="23" xfId="1" applyNumberFormat="1" applyFont="1" applyFill="1" applyBorder="1" applyAlignment="1">
      <alignment horizontal="justify" vertical="top" wrapText="1"/>
    </xf>
    <xf numFmtId="168" fontId="27" fillId="9" borderId="24" xfId="1" applyNumberFormat="1" applyFont="1" applyFill="1" applyBorder="1" applyAlignment="1">
      <alignment horizontal="justify" vertical="top" wrapText="1"/>
    </xf>
    <xf numFmtId="168" fontId="27" fillId="9" borderId="28" xfId="1" applyNumberFormat="1" applyFont="1" applyFill="1" applyBorder="1" applyAlignment="1">
      <alignment horizontal="justify" vertical="top" wrapText="1"/>
    </xf>
    <xf numFmtId="168" fontId="28" fillId="9" borderId="23" xfId="1" applyNumberFormat="1" applyFont="1" applyFill="1" applyBorder="1" applyAlignment="1">
      <alignment horizontal="center" vertical="center" wrapText="1"/>
    </xf>
    <xf numFmtId="168" fontId="28" fillId="9" borderId="24" xfId="1" applyNumberFormat="1" applyFont="1" applyFill="1" applyBorder="1" applyAlignment="1">
      <alignment horizontal="center" vertical="center" wrapText="1"/>
    </xf>
    <xf numFmtId="168" fontId="28" fillId="9" borderId="28" xfId="1" applyNumberFormat="1" applyFont="1" applyFill="1" applyBorder="1" applyAlignment="1">
      <alignment horizontal="center" vertical="center" wrapText="1"/>
    </xf>
    <xf numFmtId="168" fontId="28" fillId="9" borderId="27" xfId="1" applyNumberFormat="1" applyFont="1" applyFill="1" applyBorder="1" applyAlignment="1">
      <alignment horizontal="center" vertical="center" wrapText="1"/>
    </xf>
    <xf numFmtId="168" fontId="28" fillId="9" borderId="6" xfId="1" applyNumberFormat="1" applyFont="1" applyFill="1" applyBorder="1" applyAlignment="1">
      <alignment horizontal="center" vertical="center" wrapText="1"/>
    </xf>
    <xf numFmtId="168" fontId="28" fillId="9" borderId="25" xfId="1" applyNumberFormat="1" applyFont="1" applyFill="1" applyBorder="1" applyAlignment="1">
      <alignment horizontal="center" vertical="center" wrapText="1"/>
    </xf>
    <xf numFmtId="0" fontId="27" fillId="9" borderId="30" xfId="1" applyNumberFormat="1" applyFont="1" applyFill="1" applyBorder="1" applyAlignment="1">
      <alignment horizontal="justify" wrapText="1"/>
    </xf>
    <xf numFmtId="0" fontId="27" fillId="9" borderId="0" xfId="1" applyNumberFormat="1" applyFont="1" applyFill="1" applyBorder="1" applyAlignment="1">
      <alignment horizontal="justify" wrapText="1"/>
    </xf>
    <xf numFmtId="0" fontId="27" fillId="9" borderId="39" xfId="1" applyNumberFormat="1" applyFont="1" applyFill="1" applyBorder="1" applyAlignment="1">
      <alignment horizontal="justify" wrapText="1"/>
    </xf>
    <xf numFmtId="0" fontId="27" fillId="9" borderId="61" xfId="1" applyNumberFormat="1" applyFont="1" applyFill="1" applyBorder="1" applyAlignment="1">
      <alignment horizontal="justify" wrapText="1"/>
    </xf>
    <xf numFmtId="0" fontId="27" fillId="9" borderId="62" xfId="1" applyNumberFormat="1" applyFont="1" applyFill="1" applyBorder="1" applyAlignment="1">
      <alignment horizontal="justify" wrapText="1"/>
    </xf>
    <xf numFmtId="0" fontId="27" fillId="9" borderId="63" xfId="1" applyNumberFormat="1" applyFont="1" applyFill="1" applyBorder="1" applyAlignment="1">
      <alignment horizontal="justify" wrapText="1"/>
    </xf>
    <xf numFmtId="0" fontId="28" fillId="9" borderId="7" xfId="0" applyFont="1" applyFill="1" applyBorder="1" applyAlignment="1">
      <alignment horizontal="center" vertical="center"/>
    </xf>
    <xf numFmtId="0" fontId="28" fillId="0" borderId="8" xfId="0" applyFont="1" applyBorder="1" applyAlignment="1">
      <alignment horizontal="center"/>
    </xf>
    <xf numFmtId="0" fontId="28" fillId="0" borderId="9" xfId="0" applyFont="1" applyBorder="1" applyAlignment="1">
      <alignment horizontal="center"/>
    </xf>
    <xf numFmtId="0" fontId="28" fillId="0" borderId="10" xfId="0" applyFont="1" applyBorder="1" applyAlignment="1">
      <alignment horizontal="center"/>
    </xf>
    <xf numFmtId="0" fontId="28" fillId="0" borderId="29" xfId="0" applyFont="1" applyBorder="1" applyAlignment="1">
      <alignment horizontal="center" vertical="center"/>
    </xf>
    <xf numFmtId="0" fontId="28" fillId="0" borderId="26" xfId="0" applyFont="1" applyBorder="1" applyAlignment="1">
      <alignment horizontal="center" vertical="center"/>
    </xf>
    <xf numFmtId="0" fontId="28" fillId="9" borderId="29" xfId="0" applyFont="1" applyFill="1" applyBorder="1" applyAlignment="1">
      <alignment horizontal="center" vertical="center" wrapText="1"/>
    </xf>
    <xf numFmtId="0" fontId="28" fillId="9" borderId="26" xfId="0" applyFont="1" applyFill="1" applyBorder="1" applyAlignment="1">
      <alignment horizontal="center" vertical="center" wrapText="1"/>
    </xf>
    <xf numFmtId="0" fontId="30" fillId="0" borderId="29" xfId="0" applyFont="1" applyBorder="1" applyAlignment="1">
      <alignment horizontal="center"/>
    </xf>
  </cellXfs>
  <cellStyles count="22">
    <cellStyle name="Euro" xfId="7"/>
    <cellStyle name="Hipervínculo" xfId="5" builtinId="8"/>
    <cellStyle name="Hipervínculo 2" xfId="9"/>
    <cellStyle name="Millares" xfId="1" builtinId="3"/>
    <cellStyle name="Millares [0] 2" xfId="18"/>
    <cellStyle name="Millares 2" xfId="14"/>
    <cellStyle name="Millares 3" xfId="20"/>
    <cellStyle name="Millares 4" xfId="21"/>
    <cellStyle name="Moneda 2" xfId="10"/>
    <cellStyle name="Normal" xfId="0" builtinId="0"/>
    <cellStyle name="Normal 2" xfId="3"/>
    <cellStyle name="Normal 2 2" xfId="19"/>
    <cellStyle name="Normal 3" xfId="6"/>
    <cellStyle name="Normal 4" xfId="8"/>
    <cellStyle name="Normal 5" xfId="12"/>
    <cellStyle name="Normal 6" xfId="17"/>
    <cellStyle name="Porcentaje" xfId="2" builtinId="5"/>
    <cellStyle name="Porcentaje 2" xfId="4"/>
    <cellStyle name="Porcentaje 3" xfId="11"/>
    <cellStyle name="Porcentaje 3 2" xfId="16"/>
    <cellStyle name="Porcentaje 4" xfId="13"/>
    <cellStyle name="Porcentaje 5" xfId="15"/>
  </cellStyles>
  <dxfs count="48">
    <dxf>
      <font>
        <b val="0"/>
        <i val="0"/>
        <strike val="0"/>
        <condense val="0"/>
        <extend val="0"/>
        <outline val="0"/>
        <shadow val="0"/>
        <u val="none"/>
        <vertAlign val="baseline"/>
        <sz val="10"/>
        <color rgb="FF000000"/>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Segoe U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Segoe UI"/>
        <scheme val="none"/>
      </font>
      <alignment horizontal="justify" vertical="center" textRotation="0" wrapText="1" indent="0" justifyLastLine="0" shrinkToFit="0" readingOrder="0"/>
    </dxf>
    <dxf>
      <border outline="0">
        <left style="medium">
          <color rgb="FF5B9BD5"/>
        </left>
        <right style="medium">
          <color rgb="FF5B9BD5"/>
        </right>
        <top style="medium">
          <color rgb="FF5B9BD5"/>
        </top>
        <bottom style="medium">
          <color rgb="FF5B9BD5"/>
        </bottom>
      </border>
    </dxf>
    <dxf>
      <font>
        <b val="0"/>
        <i val="0"/>
        <strike val="0"/>
        <condense val="0"/>
        <extend val="0"/>
        <outline val="0"/>
        <shadow val="0"/>
        <u val="none"/>
        <vertAlign val="baseline"/>
        <sz val="10"/>
        <color rgb="FF000000"/>
        <name val="Segoe UI"/>
        <scheme val="none"/>
      </font>
      <alignment horizontal="justify" vertical="center" textRotation="0" wrapText="1" indent="0" justifyLastLine="0" shrinkToFit="0" readingOrder="0"/>
    </dxf>
    <dxf>
      <font>
        <b/>
        <i val="0"/>
        <strike val="0"/>
        <condense val="0"/>
        <extend val="0"/>
        <outline val="0"/>
        <shadow val="0"/>
        <u val="none"/>
        <vertAlign val="baseline"/>
        <sz val="10"/>
        <color rgb="FF000000"/>
        <name val="Segoe UI"/>
        <scheme val="none"/>
      </font>
      <fill>
        <patternFill patternType="solid">
          <fgColor indexed="64"/>
          <bgColor rgb="FF5B9BD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scheme val="none"/>
      </font>
      <alignment horizontal="justify" vertical="center" textRotation="0" wrapText="1" indent="0" justifyLastLine="0" shrinkToFit="0" readingOrder="0"/>
    </dxf>
    <dxf>
      <font>
        <strike val="0"/>
        <outline val="0"/>
        <shadow val="0"/>
        <vertAlign val="baseline"/>
        <sz val="10"/>
        <name val="Segoe UI"/>
        <scheme val="none"/>
      </font>
    </dxf>
    <dxf>
      <font>
        <b/>
        <i val="0"/>
        <strike val="0"/>
        <condense val="0"/>
        <extend val="0"/>
        <outline val="0"/>
        <shadow val="0"/>
        <u val="none"/>
        <vertAlign val="baseline"/>
        <sz val="10"/>
        <color theme="1"/>
        <name val="Segoe UI"/>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35" formatCode="_ * #,##0.00_ ;_ * \-#,##0.00_ ;_ * &quot;-&quot;??_ ;_ @_ "/>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rial"/>
        <scheme val="none"/>
      </font>
    </dxf>
    <dxf>
      <border>
        <bottom style="thin">
          <color indexed="64"/>
        </bottom>
      </border>
    </dxf>
    <dxf>
      <font>
        <b/>
        <i val="0"/>
        <strike val="0"/>
        <condense val="0"/>
        <extend val="0"/>
        <outline val="0"/>
        <shadow val="0"/>
        <u val="none"/>
        <vertAlign val="baseline"/>
        <sz val="10"/>
        <color theme="1"/>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14" formatCode="0.0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thin">
          <color indexed="64"/>
        </top>
      </border>
    </dxf>
    <dxf>
      <font>
        <strike val="0"/>
        <outline val="0"/>
        <shadow val="0"/>
        <vertAlign val="baseline"/>
        <sz val="10"/>
        <name val="Arial"/>
        <scheme val="none"/>
      </font>
    </dxf>
    <dxf>
      <border outline="0">
        <bottom style="thin">
          <color indexed="64"/>
        </bottom>
      </border>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scheme val="none"/>
      </font>
      <numFmt numFmtId="35" formatCode="_ * #,##0.00_ ;_ * \-#,##0.00_ ;_ * &quot;-&quot;??_ ;_ @_ "/>
    </dxf>
    <dxf>
      <font>
        <b val="0"/>
        <i val="0"/>
        <strike val="0"/>
        <condense val="0"/>
        <extend val="0"/>
        <outline val="0"/>
        <shadow val="0"/>
        <u val="none"/>
        <vertAlign val="baseline"/>
        <sz val="10"/>
        <color theme="1"/>
        <name val="Arial"/>
        <scheme val="none"/>
      </font>
      <numFmt numFmtId="35" formatCode="_ * #,##0.00_ ;_ * \-#,##0.00_ ;_ * &quot;-&quot;??_ ;_ @_ "/>
    </dxf>
    <dxf>
      <font>
        <b val="0"/>
        <i val="0"/>
        <strike val="0"/>
        <condense val="0"/>
        <extend val="0"/>
        <outline val="0"/>
        <shadow val="0"/>
        <u val="none"/>
        <vertAlign val="baseline"/>
        <sz val="10"/>
        <color theme="1"/>
        <name val="Arial"/>
        <scheme val="none"/>
      </font>
      <numFmt numFmtId="35" formatCode="_ * #,##0.00_ ;_ * \-#,##0.00_ ;_ * &quot;-&quot;??_ ;_ @_ "/>
    </dxf>
    <dxf>
      <font>
        <b val="0"/>
        <i val="0"/>
        <strike val="0"/>
        <condense val="0"/>
        <extend val="0"/>
        <outline val="0"/>
        <shadow val="0"/>
        <u val="none"/>
        <vertAlign val="baseline"/>
        <sz val="10"/>
        <color theme="1"/>
        <name val="Arial"/>
        <scheme val="none"/>
      </font>
      <numFmt numFmtId="35" formatCode="_ * #,##0.00_ ;_ * \-#,##0.00_ ;_ * &quot;-&quot;??_ ;_ @_ "/>
    </dxf>
    <dxf>
      <font>
        <b val="0"/>
        <i val="0"/>
        <strike val="0"/>
        <condense val="0"/>
        <extend val="0"/>
        <outline val="0"/>
        <shadow val="0"/>
        <u val="none"/>
        <vertAlign val="baseline"/>
        <sz val="10"/>
        <color theme="1"/>
        <name val="Arial"/>
        <scheme val="none"/>
      </font>
      <numFmt numFmtId="35" formatCode="_ * #,##0.00_ ;_ * \-#,##0.00_ ;_ * &quot;-&quot;??_ ;_ @_ "/>
    </dxf>
    <dxf>
      <font>
        <b val="0"/>
        <i val="0"/>
        <strike val="0"/>
        <condense val="0"/>
        <extend val="0"/>
        <outline val="0"/>
        <shadow val="0"/>
        <u val="none"/>
        <vertAlign val="baseline"/>
        <sz val="10"/>
        <color theme="1"/>
        <name val="Arial"/>
        <scheme val="none"/>
      </font>
      <numFmt numFmtId="35" formatCode="_ * #,##0.00_ ;_ * \-#,##0.00_ ;_ * &quot;-&quot;??_ ;_ @_ "/>
    </dxf>
    <dxf>
      <font>
        <b val="0"/>
        <i val="0"/>
        <strike val="0"/>
        <condense val="0"/>
        <extend val="0"/>
        <outline val="0"/>
        <shadow val="0"/>
        <u val="none"/>
        <vertAlign val="baseline"/>
        <sz val="10"/>
        <color theme="1"/>
        <name val="Arial"/>
        <scheme val="none"/>
      </font>
      <numFmt numFmtId="169" formatCode="0.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rgb="FF000000"/>
        <name val="Arial"/>
        <scheme val="none"/>
      </font>
      <numFmt numFmtId="0" formatCode="General"/>
    </dxf>
    <dxf>
      <font>
        <b val="0"/>
        <i val="0"/>
        <strike val="0"/>
        <condense val="0"/>
        <extend val="0"/>
        <outline val="0"/>
        <shadow val="0"/>
        <u val="none"/>
        <vertAlign val="baseline"/>
        <sz val="9"/>
        <color theme="1"/>
        <name val="Arial"/>
        <scheme val="none"/>
      </font>
      <numFmt numFmtId="0" formatCode="General"/>
      <fill>
        <patternFill patternType="solid">
          <fgColor indexed="64"/>
          <bgColor rgb="FF0070C0"/>
        </patternFill>
      </fill>
      <alignment horizontal="center" vertical="bottom" textRotation="0" wrapText="0" indent="0" justifyLastLine="0" shrinkToFit="0" readingOrder="0"/>
    </dxf>
  </dxfs>
  <tableStyles count="0" defaultTableStyle="TableStyleMedium2" defaultPivotStyle="PivotStyleLight16"/>
  <colors>
    <mruColors>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r>
              <a:rPr lang="en-US" sz="1600"/>
              <a:t>GRAFICO</a:t>
            </a:r>
            <a:r>
              <a:rPr lang="en-US" sz="1600" baseline="0"/>
              <a:t> 14.- </a:t>
            </a:r>
            <a:r>
              <a:rPr lang="en-US" sz="1600"/>
              <a:t>ROE Y ROA</a:t>
            </a:r>
          </a:p>
        </c:rich>
      </c:tx>
      <c:layout>
        <c:manualLayout>
          <c:xMode val="edge"/>
          <c:yMode val="edge"/>
          <c:x val="0.24945296151285745"/>
          <c:y val="3.284841443999828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endParaRPr lang="es-PE"/>
        </a:p>
      </c:txPr>
    </c:title>
    <c:autoTitleDeleted val="0"/>
    <c:plotArea>
      <c:layout>
        <c:manualLayout>
          <c:layoutTarget val="inner"/>
          <c:xMode val="edge"/>
          <c:yMode val="edge"/>
          <c:x val="4.0229868252664037E-2"/>
          <c:y val="0.22693989071038251"/>
          <c:w val="0.93191868449549164"/>
          <c:h val="0.74195774708489293"/>
        </c:manualLayout>
      </c:layout>
      <c:barChart>
        <c:barDir val="col"/>
        <c:grouping val="clustered"/>
        <c:varyColors val="0"/>
        <c:ser>
          <c:idx val="0"/>
          <c:order val="0"/>
          <c:tx>
            <c:strRef>
              <c:f>Ratios!$B$113</c:f>
              <c:strCache>
                <c:ptCount val="1"/>
                <c:pt idx="0">
                  <c:v>ROA</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P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Ratios!$C$3:$I$3</c:f>
              <c:numCache>
                <c:formatCode>General</c:formatCode>
                <c:ptCount val="7"/>
                <c:pt idx="0">
                  <c:v>2015</c:v>
                </c:pt>
                <c:pt idx="1">
                  <c:v>2014</c:v>
                </c:pt>
                <c:pt idx="2">
                  <c:v>2013</c:v>
                </c:pt>
                <c:pt idx="3">
                  <c:v>2012</c:v>
                </c:pt>
                <c:pt idx="4">
                  <c:v>2011</c:v>
                </c:pt>
                <c:pt idx="5">
                  <c:v>2010</c:v>
                </c:pt>
                <c:pt idx="6">
                  <c:v>2009</c:v>
                </c:pt>
              </c:numCache>
            </c:numRef>
          </c:cat>
          <c:val>
            <c:numRef>
              <c:f>Ratios!$C$113:$I$113</c:f>
              <c:numCache>
                <c:formatCode>0.0%</c:formatCode>
                <c:ptCount val="7"/>
                <c:pt idx="0">
                  <c:v>-2.5383041250065561E-2</c:v>
                </c:pt>
                <c:pt idx="1">
                  <c:v>8.4823486364087443E-4</c:v>
                </c:pt>
                <c:pt idx="2">
                  <c:v>-2.2638212201782127E-2</c:v>
                </c:pt>
                <c:pt idx="3">
                  <c:v>2.9750841442328212E-2</c:v>
                </c:pt>
                <c:pt idx="4">
                  <c:v>1.9419612228000278E-2</c:v>
                </c:pt>
                <c:pt idx="5">
                  <c:v>2.8304042318619785E-2</c:v>
                </c:pt>
                <c:pt idx="6">
                  <c:v>4.743040807689497E-2</c:v>
                </c:pt>
              </c:numCache>
            </c:numRef>
          </c:val>
        </c:ser>
        <c:ser>
          <c:idx val="1"/>
          <c:order val="1"/>
          <c:tx>
            <c:strRef>
              <c:f>Ratios!$B$114</c:f>
              <c:strCache>
                <c:ptCount val="1"/>
                <c:pt idx="0">
                  <c:v>ROE</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Ratios!$C$3:$I$3</c:f>
              <c:numCache>
                <c:formatCode>General</c:formatCode>
                <c:ptCount val="7"/>
                <c:pt idx="0">
                  <c:v>2015</c:v>
                </c:pt>
                <c:pt idx="1">
                  <c:v>2014</c:v>
                </c:pt>
                <c:pt idx="2">
                  <c:v>2013</c:v>
                </c:pt>
                <c:pt idx="3">
                  <c:v>2012</c:v>
                </c:pt>
                <c:pt idx="4">
                  <c:v>2011</c:v>
                </c:pt>
                <c:pt idx="5">
                  <c:v>2010</c:v>
                </c:pt>
                <c:pt idx="6">
                  <c:v>2009</c:v>
                </c:pt>
              </c:numCache>
            </c:numRef>
          </c:cat>
          <c:val>
            <c:numRef>
              <c:f>Ratios!$C$114:$I$114</c:f>
              <c:numCache>
                <c:formatCode>0.0%</c:formatCode>
                <c:ptCount val="7"/>
                <c:pt idx="0">
                  <c:v>-0.15129383984523023</c:v>
                </c:pt>
                <c:pt idx="1">
                  <c:v>4.4914205375549687E-3</c:v>
                </c:pt>
                <c:pt idx="2">
                  <c:v>-0.11300506232717185</c:v>
                </c:pt>
                <c:pt idx="3">
                  <c:v>9.7476516632785004E-2</c:v>
                </c:pt>
                <c:pt idx="4">
                  <c:v>6.4316336422614709E-2</c:v>
                </c:pt>
                <c:pt idx="5">
                  <c:v>6.9955084039591567E-2</c:v>
                </c:pt>
                <c:pt idx="6">
                  <c:v>0.11781887337122925</c:v>
                </c:pt>
              </c:numCache>
            </c:numRef>
          </c:val>
        </c:ser>
        <c:dLbls>
          <c:dLblPos val="inEnd"/>
          <c:showLegendKey val="0"/>
          <c:showVal val="1"/>
          <c:showCatName val="0"/>
          <c:showSerName val="0"/>
          <c:showPercent val="0"/>
          <c:showBubbleSize val="0"/>
        </c:dLbls>
        <c:gapWidth val="65"/>
        <c:axId val="199006856"/>
        <c:axId val="196849576"/>
      </c:barChart>
      <c:catAx>
        <c:axId val="199006856"/>
        <c:scaling>
          <c:orientation val="maxMin"/>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050" b="1" i="0" u="none" strike="noStrike" kern="1200" cap="all" baseline="0">
                <a:solidFill>
                  <a:schemeClr val="tx1"/>
                </a:solidFill>
                <a:latin typeface="+mn-lt"/>
                <a:ea typeface="+mn-ea"/>
                <a:cs typeface="+mn-cs"/>
              </a:defRPr>
            </a:pPr>
            <a:endParaRPr lang="es-PE"/>
          </a:p>
        </c:txPr>
        <c:crossAx val="196849576"/>
        <c:crosses val="autoZero"/>
        <c:auto val="0"/>
        <c:lblAlgn val="ctr"/>
        <c:lblOffset val="100"/>
        <c:noMultiLvlLbl val="0"/>
      </c:catAx>
      <c:valAx>
        <c:axId val="196849576"/>
        <c:scaling>
          <c:orientation val="minMax"/>
        </c:scaling>
        <c:delete val="1"/>
        <c:axPos val="r"/>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199006856"/>
        <c:crosses val="autoZero"/>
        <c:crossBetween val="between"/>
      </c:valAx>
      <c:spPr>
        <a:noFill/>
        <a:ln>
          <a:noFill/>
        </a:ln>
        <a:effectLst/>
      </c:spPr>
    </c:plotArea>
    <c:legend>
      <c:legendPos val="b"/>
      <c:layout>
        <c:manualLayout>
          <c:xMode val="edge"/>
          <c:yMode val="edge"/>
          <c:x val="0.7031652207306387"/>
          <c:y val="0.24758616238543951"/>
          <c:w val="0.22496878591082276"/>
          <c:h val="0.10214061357084464"/>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s-PE"/>
        </a:p>
      </c:txPr>
    </c:legend>
    <c:plotVisOnly val="1"/>
    <c:dispBlanksAs val="gap"/>
    <c:showDLblsOverMax val="0"/>
  </c:chart>
  <c:spPr>
    <a:solidFill>
      <a:schemeClr val="bg1"/>
    </a:solidFill>
    <a:ln w="9525" cap="flat" cmpd="sng" algn="ctr">
      <a:solidFill>
        <a:schemeClr val="dk1">
          <a:lumMod val="25000"/>
          <a:lumOff val="75000"/>
        </a:schemeClr>
      </a:solidFill>
      <a:round/>
    </a:ln>
    <a:effectLst/>
  </c:spPr>
  <c:txPr>
    <a:bodyPr/>
    <a:lstStyle/>
    <a:p>
      <a:pPr>
        <a:defRPr/>
      </a:pPr>
      <a:endParaRPr lang="es-P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PE"/>
              <a:t>GRAFICO 7.- EVOLUCION DEL CONSUMO PER CAPITA DE BEBIDAS EN LITROS PERU </a:t>
            </a:r>
            <a:r>
              <a:rPr lang="es-PE" sz="1100"/>
              <a:t>(2009-2014)</a:t>
            </a:r>
            <a:endParaRPr lang="es-PE"/>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PE"/>
        </a:p>
      </c:txPr>
    </c:title>
    <c:autoTitleDeleted val="0"/>
    <c:plotArea>
      <c:layout>
        <c:manualLayout>
          <c:layoutTarget val="inner"/>
          <c:xMode val="edge"/>
          <c:yMode val="edge"/>
          <c:x val="0.12012729658792651"/>
          <c:y val="0.2287153689122193"/>
          <c:w val="0.87153937007874016"/>
          <c:h val="0.54380978419364245"/>
        </c:manualLayout>
      </c:layout>
      <c:barChart>
        <c:barDir val="col"/>
        <c:grouping val="stacked"/>
        <c:varyColors val="0"/>
        <c:ser>
          <c:idx val="0"/>
          <c:order val="0"/>
          <c:tx>
            <c:strRef>
              <c:f>'Proyeccion Venta'!$B$25</c:f>
              <c:strCache>
                <c:ptCount val="1"/>
                <c:pt idx="0">
                  <c:v>Gaseosas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'Proyeccion Venta'!$C$24:$H$24</c:f>
              <c:numCache>
                <c:formatCode>General</c:formatCode>
                <c:ptCount val="6"/>
                <c:pt idx="0">
                  <c:v>2009</c:v>
                </c:pt>
                <c:pt idx="1">
                  <c:v>2010</c:v>
                </c:pt>
                <c:pt idx="2">
                  <c:v>2011</c:v>
                </c:pt>
                <c:pt idx="3">
                  <c:v>2012</c:v>
                </c:pt>
                <c:pt idx="4">
                  <c:v>2013</c:v>
                </c:pt>
                <c:pt idx="5">
                  <c:v>2014</c:v>
                </c:pt>
              </c:numCache>
            </c:numRef>
          </c:cat>
          <c:val>
            <c:numRef>
              <c:f>'Proyeccion Venta'!$C$25:$H$25</c:f>
              <c:numCache>
                <c:formatCode>_(* #,##0.00_);_(* \(#,##0.00\);_(* "-"??_);_(@_)</c:formatCode>
                <c:ptCount val="6"/>
                <c:pt idx="0">
                  <c:v>55.3</c:v>
                </c:pt>
                <c:pt idx="1">
                  <c:v>56.9</c:v>
                </c:pt>
                <c:pt idx="2">
                  <c:v>58.3</c:v>
                </c:pt>
                <c:pt idx="3">
                  <c:v>57.4</c:v>
                </c:pt>
                <c:pt idx="4">
                  <c:v>54.7</c:v>
                </c:pt>
                <c:pt idx="5">
                  <c:v>55.4</c:v>
                </c:pt>
              </c:numCache>
            </c:numRef>
          </c:val>
        </c:ser>
        <c:ser>
          <c:idx val="1"/>
          <c:order val="1"/>
          <c:tx>
            <c:strRef>
              <c:f>'Proyeccion Venta'!$B$26</c:f>
              <c:strCache>
                <c:ptCount val="1"/>
                <c:pt idx="0">
                  <c:v>Agua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'Proyeccion Venta'!$C$24:$H$24</c:f>
              <c:numCache>
                <c:formatCode>General</c:formatCode>
                <c:ptCount val="6"/>
                <c:pt idx="0">
                  <c:v>2009</c:v>
                </c:pt>
                <c:pt idx="1">
                  <c:v>2010</c:v>
                </c:pt>
                <c:pt idx="2">
                  <c:v>2011</c:v>
                </c:pt>
                <c:pt idx="3">
                  <c:v>2012</c:v>
                </c:pt>
                <c:pt idx="4">
                  <c:v>2013</c:v>
                </c:pt>
                <c:pt idx="5">
                  <c:v>2014</c:v>
                </c:pt>
              </c:numCache>
            </c:numRef>
          </c:cat>
          <c:val>
            <c:numRef>
              <c:f>'Proyeccion Venta'!$C$26:$H$26</c:f>
              <c:numCache>
                <c:formatCode>_(* #,##0.00_);_(* \(#,##0.00\);_(* "-"??_);_(@_)</c:formatCode>
                <c:ptCount val="6"/>
                <c:pt idx="0">
                  <c:v>9.8000000000000007</c:v>
                </c:pt>
                <c:pt idx="1">
                  <c:v>9.8000000000000007</c:v>
                </c:pt>
                <c:pt idx="2">
                  <c:v>13.27</c:v>
                </c:pt>
                <c:pt idx="3">
                  <c:v>15.1</c:v>
                </c:pt>
                <c:pt idx="4">
                  <c:v>17</c:v>
                </c:pt>
                <c:pt idx="5">
                  <c:v>18.600000000000001</c:v>
                </c:pt>
              </c:numCache>
            </c:numRef>
          </c:val>
        </c:ser>
        <c:ser>
          <c:idx val="2"/>
          <c:order val="2"/>
          <c:tx>
            <c:strRef>
              <c:f>'Proyeccion Venta'!$B$27</c:f>
              <c:strCache>
                <c:ptCount val="1"/>
                <c:pt idx="0">
                  <c:v>Isotónicos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'Proyeccion Venta'!$C$24:$H$24</c:f>
              <c:numCache>
                <c:formatCode>General</c:formatCode>
                <c:ptCount val="6"/>
                <c:pt idx="0">
                  <c:v>2009</c:v>
                </c:pt>
                <c:pt idx="1">
                  <c:v>2010</c:v>
                </c:pt>
                <c:pt idx="2">
                  <c:v>2011</c:v>
                </c:pt>
                <c:pt idx="3">
                  <c:v>2012</c:v>
                </c:pt>
                <c:pt idx="4">
                  <c:v>2013</c:v>
                </c:pt>
                <c:pt idx="5">
                  <c:v>2014</c:v>
                </c:pt>
              </c:numCache>
            </c:numRef>
          </c:cat>
          <c:val>
            <c:numRef>
              <c:f>'Proyeccion Venta'!$C$27:$H$27</c:f>
              <c:numCache>
                <c:formatCode>_(* #,##0.00_);_(* \(#,##0.00\);_(* "-"??_);_(@_)</c:formatCode>
                <c:ptCount val="6"/>
                <c:pt idx="0">
                  <c:v>3.1</c:v>
                </c:pt>
                <c:pt idx="1">
                  <c:v>3.6</c:v>
                </c:pt>
                <c:pt idx="2">
                  <c:v>4.2</c:v>
                </c:pt>
                <c:pt idx="3">
                  <c:v>4.8</c:v>
                </c:pt>
                <c:pt idx="4">
                  <c:v>5.4</c:v>
                </c:pt>
                <c:pt idx="5">
                  <c:v>5.9</c:v>
                </c:pt>
              </c:numCache>
            </c:numRef>
          </c:val>
        </c:ser>
        <c:ser>
          <c:idx val="3"/>
          <c:order val="3"/>
          <c:tx>
            <c:strRef>
              <c:f>'Proyeccion Venta'!$B$28</c:f>
              <c:strCache>
                <c:ptCount val="1"/>
                <c:pt idx="0">
                  <c:v>Jugos</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numRef>
              <c:f>'Proyeccion Venta'!$C$24:$H$24</c:f>
              <c:numCache>
                <c:formatCode>General</c:formatCode>
                <c:ptCount val="6"/>
                <c:pt idx="0">
                  <c:v>2009</c:v>
                </c:pt>
                <c:pt idx="1">
                  <c:v>2010</c:v>
                </c:pt>
                <c:pt idx="2">
                  <c:v>2011</c:v>
                </c:pt>
                <c:pt idx="3">
                  <c:v>2012</c:v>
                </c:pt>
                <c:pt idx="4">
                  <c:v>2013</c:v>
                </c:pt>
                <c:pt idx="5">
                  <c:v>2014</c:v>
                </c:pt>
              </c:numCache>
            </c:numRef>
          </c:cat>
          <c:val>
            <c:numRef>
              <c:f>'Proyeccion Venta'!$C$28:$H$28</c:f>
              <c:numCache>
                <c:formatCode>_(* #,##0.00_);_(* \(#,##0.00\);_(* "-"??_);_(@_)</c:formatCode>
                <c:ptCount val="6"/>
                <c:pt idx="0">
                  <c:v>9.3000000000000007</c:v>
                </c:pt>
                <c:pt idx="1">
                  <c:v>9.35</c:v>
                </c:pt>
                <c:pt idx="2">
                  <c:v>11.15</c:v>
                </c:pt>
                <c:pt idx="3">
                  <c:v>12.2</c:v>
                </c:pt>
                <c:pt idx="4">
                  <c:v>11.15</c:v>
                </c:pt>
                <c:pt idx="5">
                  <c:v>11.2</c:v>
                </c:pt>
              </c:numCache>
            </c:numRef>
          </c:val>
        </c:ser>
        <c:dLbls>
          <c:showLegendKey val="0"/>
          <c:showVal val="0"/>
          <c:showCatName val="0"/>
          <c:showSerName val="0"/>
          <c:showPercent val="0"/>
          <c:showBubbleSize val="0"/>
        </c:dLbls>
        <c:gapWidth val="65"/>
        <c:overlap val="100"/>
        <c:axId val="134036840"/>
        <c:axId val="134036448"/>
      </c:barChart>
      <c:catAx>
        <c:axId val="13403684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s-PE"/>
          </a:p>
        </c:txPr>
        <c:crossAx val="134036448"/>
        <c:crosses val="autoZero"/>
        <c:auto val="1"/>
        <c:lblAlgn val="ctr"/>
        <c:lblOffset val="100"/>
        <c:noMultiLvlLbl val="0"/>
      </c:catAx>
      <c:valAx>
        <c:axId val="134036448"/>
        <c:scaling>
          <c:orientation val="minMax"/>
        </c:scaling>
        <c:delete val="0"/>
        <c:axPos val="l"/>
        <c:majorGridlines>
          <c:spPr>
            <a:ln w="9525" cap="flat" cmpd="sng" algn="ctr">
              <a:solidFill>
                <a:schemeClr val="tx2">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es-PE"/>
          </a:p>
        </c:txPr>
        <c:crossAx val="134036840"/>
        <c:crossesAt val="1"/>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s-PE"/>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s-PE" sz="1400"/>
              <a:t>PARTICIPACION HISTORICA DE MERCADO LINDLEY</a:t>
            </a:r>
          </a:p>
        </c:rich>
      </c:tx>
      <c:layout>
        <c:manualLayout>
          <c:xMode val="edge"/>
          <c:yMode val="edge"/>
          <c:x val="0.14956615468178516"/>
          <c:y val="3.7617405077124674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PE"/>
        </a:p>
      </c:txPr>
    </c:title>
    <c:autoTitleDeleted val="0"/>
    <c:plotArea>
      <c:layout>
        <c:manualLayout>
          <c:layoutTarget val="inner"/>
          <c:xMode val="edge"/>
          <c:yMode val="edge"/>
          <c:x val="8.8053078376267371E-2"/>
          <c:y val="0.15084634533891333"/>
          <c:w val="0.88997383029814392"/>
          <c:h val="0.64569145848115961"/>
        </c:manualLayout>
      </c:layout>
      <c:lineChart>
        <c:grouping val="standard"/>
        <c:varyColors val="0"/>
        <c:ser>
          <c:idx val="0"/>
          <c:order val="0"/>
          <c:tx>
            <c:strRef>
              <c:f>'Proyeccion Venta'!$B$60</c:f>
              <c:strCache>
                <c:ptCount val="1"/>
                <c:pt idx="0">
                  <c:v>Gaseosas</c:v>
                </c:pt>
              </c:strCache>
            </c:strRef>
          </c:tx>
          <c:spPr>
            <a:ln w="34925" cap="rnd">
              <a:solidFill>
                <a:schemeClr val="accent1"/>
              </a:solidFill>
              <a:round/>
            </a:ln>
            <a:effectLst>
              <a:outerShdw blurRad="40000" dist="23000" dir="5400000" rotWithShape="0">
                <a:srgbClr val="000000">
                  <a:alpha val="35000"/>
                </a:srgbClr>
              </a:outerShdw>
            </a:effectLst>
          </c:spPr>
          <c:marker>
            <c:symbol val="none"/>
          </c:marker>
          <c:dLbls>
            <c:dLbl>
              <c:idx val="6"/>
              <c:layout>
                <c:manualLayout>
                  <c:x val="-3.9893368028902206E-2"/>
                  <c:y val="-3.5496413333526433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'Proyeccion Venta'!$C$60:$I$60</c:f>
            </c:numRef>
          </c:val>
          <c:smooth val="0"/>
          <c:extLst>
            <c:ext xmlns:c15="http://schemas.microsoft.com/office/drawing/2012/chart" uri="{02D57815-91ED-43cb-92C2-25804820EDAC}">
              <c15:filteredCategoryTitle>
                <c15:cat>
                  <c:multiLvlStrRef>
                    <c:extLst>
                      <c:ext uri="{02D57815-91ED-43cb-92C2-25804820EDAC}">
                        <c15:formulaRef>
                          <c15:sqref>'Proyeccion Venta'!$C$59:$I$59</c15:sqref>
                        </c15:formulaRef>
                      </c:ext>
                    </c:extLst>
                  </c:multiLvlStrRef>
                </c15:cat>
              </c15:filteredCategoryTitle>
            </c:ext>
          </c:extLst>
        </c:ser>
        <c:ser>
          <c:idx val="1"/>
          <c:order val="1"/>
          <c:tx>
            <c:strRef>
              <c:f>'Proyeccion Venta'!$B$61</c:f>
              <c:strCache>
                <c:ptCount val="1"/>
                <c:pt idx="0">
                  <c:v>Agua</c:v>
                </c:pt>
              </c:strCache>
            </c:strRef>
          </c:tx>
          <c:spPr>
            <a:ln w="34925" cap="rnd">
              <a:solidFill>
                <a:schemeClr val="accent2"/>
              </a:solidFill>
              <a:round/>
            </a:ln>
            <a:effectLst>
              <a:outerShdw blurRad="40000" dist="23000" dir="5400000" rotWithShape="0">
                <a:srgbClr val="000000">
                  <a:alpha val="35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'Proyeccion Venta'!$C$61:$I$61</c:f>
            </c:numRef>
          </c:val>
          <c:smooth val="0"/>
          <c:extLst>
            <c:ext xmlns:c15="http://schemas.microsoft.com/office/drawing/2012/chart" uri="{02D57815-91ED-43cb-92C2-25804820EDAC}">
              <c15:filteredCategoryTitle>
                <c15:cat>
                  <c:multiLvlStrRef>
                    <c:extLst>
                      <c:ext uri="{02D57815-91ED-43cb-92C2-25804820EDAC}">
                        <c15:formulaRef>
                          <c15:sqref>'Proyeccion Venta'!$C$59:$I$59</c15:sqref>
                        </c15:formulaRef>
                      </c:ext>
                    </c:extLst>
                  </c:multiLvlStrRef>
                </c15:cat>
              </c15:filteredCategoryTitle>
            </c:ext>
          </c:extLst>
        </c:ser>
        <c:ser>
          <c:idx val="2"/>
          <c:order val="2"/>
          <c:tx>
            <c:strRef>
              <c:f>'Proyeccion Venta'!$B$62</c:f>
              <c:strCache>
                <c:ptCount val="1"/>
                <c:pt idx="0">
                  <c:v>Isotónicos</c:v>
                </c:pt>
              </c:strCache>
            </c:strRef>
          </c:tx>
          <c:spPr>
            <a:ln w="34925" cap="rnd">
              <a:solidFill>
                <a:schemeClr val="accent3"/>
              </a:solidFill>
              <a:round/>
            </a:ln>
            <a:effectLst>
              <a:outerShdw blurRad="40000" dist="23000" dir="5400000" rotWithShape="0">
                <a:srgbClr val="000000">
                  <a:alpha val="35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P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'Proyeccion Venta'!$C$62:$I$62</c:f>
            </c:numRef>
          </c:val>
          <c:smooth val="0"/>
          <c:extLst>
            <c:ext xmlns:c15="http://schemas.microsoft.com/office/drawing/2012/chart" uri="{02D57815-91ED-43cb-92C2-25804820EDAC}">
              <c15:filteredCategoryTitle>
                <c15:cat>
                  <c:multiLvlStrRef>
                    <c:extLst>
                      <c:ext uri="{02D57815-91ED-43cb-92C2-25804820EDAC}">
                        <c15:formulaRef>
                          <c15:sqref>'Proyeccion Venta'!$C$59:$I$59</c15:sqref>
                        </c15:formulaRef>
                      </c:ext>
                    </c:extLst>
                  </c:multiLvlStrRef>
                </c15:cat>
              </c15:filteredCategoryTitle>
            </c:ext>
          </c:extLst>
        </c:ser>
        <c:ser>
          <c:idx val="3"/>
          <c:order val="3"/>
          <c:tx>
            <c:strRef>
              <c:f>'Proyeccion Venta'!$B$63</c:f>
              <c:strCache>
                <c:ptCount val="1"/>
                <c:pt idx="0">
                  <c:v>Jugos</c:v>
                </c:pt>
              </c:strCache>
            </c:strRef>
          </c:tx>
          <c:spPr>
            <a:ln w="34925" cap="rnd">
              <a:solidFill>
                <a:schemeClr val="accent4"/>
              </a:solidFill>
              <a:round/>
            </a:ln>
            <a:effectLst>
              <a:outerShdw blurRad="40000" dist="23000" dir="5400000" rotWithShape="0">
                <a:srgbClr val="000000">
                  <a:alpha val="35000"/>
                </a:srgbClr>
              </a:outerShdw>
            </a:effectLst>
          </c:spPr>
          <c:marker>
            <c:symbol val="none"/>
          </c:marker>
          <c:dLbls>
            <c:spPr>
              <a:noFill/>
              <a:ln>
                <a:noFill/>
              </a:ln>
              <a:effectLst/>
            </c:spPr>
            <c:txPr>
              <a:bodyPr rot="0" spcFirstLastPara="1" vertOverflow="overflow" horzOverflow="overflow"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PE"/>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val>
            <c:numRef>
              <c:f>'Proyeccion Venta'!$C$63:$I$63</c:f>
            </c:numRef>
          </c:val>
          <c:smooth val="0"/>
          <c:extLst>
            <c:ext xmlns:c15="http://schemas.microsoft.com/office/drawing/2012/chart" uri="{02D57815-91ED-43cb-92C2-25804820EDAC}">
              <c15:filteredCategoryTitle>
                <c15:cat>
                  <c:multiLvlStrRef>
                    <c:extLst>
                      <c:ext uri="{02D57815-91ED-43cb-92C2-25804820EDAC}">
                        <c15:formulaRef>
                          <c15:sqref>'Proyeccion Venta'!$C$59:$I$59</c15:sqref>
                        </c15:formulaRef>
                      </c:ext>
                    </c:extLst>
                  </c:multiLvlStrRef>
                </c15:cat>
              </c15:filteredCategoryTitle>
            </c:ext>
          </c:extLst>
        </c:ser>
        <c:dLbls>
          <c:showLegendKey val="0"/>
          <c:showVal val="0"/>
          <c:showCatName val="0"/>
          <c:showSerName val="0"/>
          <c:showPercent val="0"/>
          <c:showBubbleSize val="0"/>
        </c:dLbls>
        <c:marker val="1"/>
        <c:smooth val="0"/>
        <c:axId val="134035664"/>
        <c:axId val="221756464"/>
      </c:lineChart>
      <c:catAx>
        <c:axId val="13403566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s-PE"/>
          </a:p>
        </c:txPr>
        <c:crossAx val="221756464"/>
        <c:crosses val="autoZero"/>
        <c:auto val="1"/>
        <c:lblAlgn val="ctr"/>
        <c:lblOffset val="100"/>
        <c:noMultiLvlLbl val="0"/>
      </c:catAx>
      <c:valAx>
        <c:axId val="221756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PE"/>
          </a:p>
        </c:txPr>
        <c:crossAx val="13403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PE" b="1">
                <a:solidFill>
                  <a:sysClr val="windowText" lastClr="000000"/>
                </a:solidFill>
              </a:rPr>
              <a:t>GRAFICO 11.- ESTRUCTURA DE VENTAS LINDLEY</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PE"/>
        </a:p>
      </c:txPr>
    </c:title>
    <c:autoTitleDeleted val="0"/>
    <c:plotArea>
      <c:layout/>
      <c:barChart>
        <c:barDir val="col"/>
        <c:grouping val="percentStacked"/>
        <c:varyColors val="0"/>
        <c:ser>
          <c:idx val="0"/>
          <c:order val="0"/>
          <c:tx>
            <c:strRef>
              <c:f>PU!$B$16</c:f>
              <c:strCache>
                <c:ptCount val="1"/>
                <c:pt idx="0">
                  <c:v>Gaseosa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PU!$C$15:$M$15</c15:sqref>
                  </c15:fullRef>
                </c:ext>
              </c:extLst>
              <c:f>PU!$G$15:$M$15</c:f>
              <c:numCache>
                <c:formatCode>General</c:formatCode>
                <c:ptCount val="7"/>
                <c:pt idx="0">
                  <c:v>2009</c:v>
                </c:pt>
                <c:pt idx="1">
                  <c:v>2010</c:v>
                </c:pt>
                <c:pt idx="2">
                  <c:v>2011</c:v>
                </c:pt>
                <c:pt idx="3">
                  <c:v>2012</c:v>
                </c:pt>
                <c:pt idx="4">
                  <c:v>2013</c:v>
                </c:pt>
                <c:pt idx="5">
                  <c:v>2014</c:v>
                </c:pt>
                <c:pt idx="6">
                  <c:v>2015</c:v>
                </c:pt>
              </c:numCache>
            </c:numRef>
          </c:cat>
          <c:val>
            <c:numRef>
              <c:extLst>
                <c:ext xmlns:c15="http://schemas.microsoft.com/office/drawing/2012/chart" uri="{02D57815-91ED-43cb-92C2-25804820EDAC}">
                  <c15:fullRef>
                    <c15:sqref>PU!$C$16:$M$16</c15:sqref>
                  </c15:fullRef>
                </c:ext>
              </c:extLst>
              <c:f>PU!$G$16:$M$16</c:f>
              <c:numCache>
                <c:formatCode>0%</c:formatCode>
                <c:ptCount val="7"/>
                <c:pt idx="0">
                  <c:v>0.81385584324702587</c:v>
                </c:pt>
                <c:pt idx="1">
                  <c:v>0.80429128738621591</c:v>
                </c:pt>
                <c:pt idx="2">
                  <c:v>0.81339996590798957</c:v>
                </c:pt>
                <c:pt idx="3">
                  <c:v>0.7865168539325843</c:v>
                </c:pt>
                <c:pt idx="4">
                  <c:v>0.77825059101654848</c:v>
                </c:pt>
                <c:pt idx="5">
                  <c:v>0.77433826828174068</c:v>
                </c:pt>
                <c:pt idx="6">
                  <c:v>0.77818627450980393</c:v>
                </c:pt>
              </c:numCache>
            </c:numRef>
          </c:val>
        </c:ser>
        <c:ser>
          <c:idx val="1"/>
          <c:order val="1"/>
          <c:tx>
            <c:strRef>
              <c:f>PU!$B$17</c:f>
              <c:strCache>
                <c:ptCount val="1"/>
                <c:pt idx="0">
                  <c:v>Aguas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PU!$C$15:$M$15</c15:sqref>
                  </c15:fullRef>
                </c:ext>
              </c:extLst>
              <c:f>PU!$G$15:$M$15</c:f>
              <c:numCache>
                <c:formatCode>General</c:formatCode>
                <c:ptCount val="7"/>
                <c:pt idx="0">
                  <c:v>2009</c:v>
                </c:pt>
                <c:pt idx="1">
                  <c:v>2010</c:v>
                </c:pt>
                <c:pt idx="2">
                  <c:v>2011</c:v>
                </c:pt>
                <c:pt idx="3">
                  <c:v>2012</c:v>
                </c:pt>
                <c:pt idx="4">
                  <c:v>2013</c:v>
                </c:pt>
                <c:pt idx="5">
                  <c:v>2014</c:v>
                </c:pt>
                <c:pt idx="6">
                  <c:v>2015</c:v>
                </c:pt>
              </c:numCache>
            </c:numRef>
          </c:cat>
          <c:val>
            <c:numRef>
              <c:extLst>
                <c:ext xmlns:c15="http://schemas.microsoft.com/office/drawing/2012/chart" uri="{02D57815-91ED-43cb-92C2-25804820EDAC}">
                  <c15:fullRef>
                    <c15:sqref>PU!$C$17:$M$17</c15:sqref>
                  </c15:fullRef>
                </c:ext>
              </c:extLst>
              <c:f>PU!$G$17:$M$17</c:f>
              <c:numCache>
                <c:formatCode>0%</c:formatCode>
                <c:ptCount val="7"/>
                <c:pt idx="0">
                  <c:v>8.8873337998600421E-2</c:v>
                </c:pt>
                <c:pt idx="1">
                  <c:v>0.10533159947984395</c:v>
                </c:pt>
                <c:pt idx="2">
                  <c:v>9.7793500957410726E-2</c:v>
                </c:pt>
                <c:pt idx="3">
                  <c:v>0.12359550561797752</c:v>
                </c:pt>
                <c:pt idx="4">
                  <c:v>0.13144208037825059</c:v>
                </c:pt>
                <c:pt idx="5">
                  <c:v>0.1386271870794078</c:v>
                </c:pt>
                <c:pt idx="6">
                  <c:v>0.13153594771241831</c:v>
                </c:pt>
              </c:numCache>
            </c:numRef>
          </c:val>
        </c:ser>
        <c:ser>
          <c:idx val="2"/>
          <c:order val="2"/>
          <c:tx>
            <c:strRef>
              <c:f>PU!$B$18</c:f>
              <c:strCache>
                <c:ptCount val="1"/>
                <c:pt idx="0">
                  <c:v>Nectares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PU!$C$15:$M$15</c15:sqref>
                  </c15:fullRef>
                </c:ext>
              </c:extLst>
              <c:f>PU!$G$15:$M$15</c:f>
              <c:numCache>
                <c:formatCode>General</c:formatCode>
                <c:ptCount val="7"/>
                <c:pt idx="0">
                  <c:v>2009</c:v>
                </c:pt>
                <c:pt idx="1">
                  <c:v>2010</c:v>
                </c:pt>
                <c:pt idx="2">
                  <c:v>2011</c:v>
                </c:pt>
                <c:pt idx="3">
                  <c:v>2012</c:v>
                </c:pt>
                <c:pt idx="4">
                  <c:v>2013</c:v>
                </c:pt>
                <c:pt idx="5">
                  <c:v>2014</c:v>
                </c:pt>
                <c:pt idx="6">
                  <c:v>2015</c:v>
                </c:pt>
              </c:numCache>
            </c:numRef>
          </c:cat>
          <c:val>
            <c:numRef>
              <c:extLst>
                <c:ext xmlns:c15="http://schemas.microsoft.com/office/drawing/2012/chart" uri="{02D57815-91ED-43cb-92C2-25804820EDAC}">
                  <c15:fullRef>
                    <c15:sqref>PU!$C$18:$M$18</c15:sqref>
                  </c15:fullRef>
                </c:ext>
              </c:extLst>
              <c:f>PU!$G$18:$M$18</c:f>
              <c:numCache>
                <c:formatCode>0%</c:formatCode>
                <c:ptCount val="7"/>
                <c:pt idx="0">
                  <c:v>7.8376487053883837E-2</c:v>
                </c:pt>
                <c:pt idx="1">
                  <c:v>7.0221066319895969E-2</c:v>
                </c:pt>
                <c:pt idx="2">
                  <c:v>6.8443251651506776E-2</c:v>
                </c:pt>
                <c:pt idx="3">
                  <c:v>6.741573033707865E-2</c:v>
                </c:pt>
                <c:pt idx="4">
                  <c:v>6.4775413711583921E-2</c:v>
                </c:pt>
                <c:pt idx="5">
                  <c:v>6.2359802602063703E-2</c:v>
                </c:pt>
                <c:pt idx="6">
                  <c:v>6.4542483660130726E-2</c:v>
                </c:pt>
              </c:numCache>
            </c:numRef>
          </c:val>
        </c:ser>
        <c:ser>
          <c:idx val="3"/>
          <c:order val="3"/>
          <c:tx>
            <c:strRef>
              <c:f>PU!$B$19</c:f>
              <c:strCache>
                <c:ptCount val="1"/>
                <c:pt idx="0">
                  <c:v>Isotonico</c:v>
                </c:pt>
              </c:strCache>
            </c:strRef>
          </c:tx>
          <c:spPr>
            <a:solidFill>
              <a:schemeClr val="accent4"/>
            </a:solidFill>
            <a:ln>
              <a:noFill/>
            </a:ln>
            <a:effectLst/>
          </c:spPr>
          <c:invertIfNegative val="0"/>
          <c:cat>
            <c:numRef>
              <c:extLst>
                <c:ext xmlns:c15="http://schemas.microsoft.com/office/drawing/2012/chart" uri="{02D57815-91ED-43cb-92C2-25804820EDAC}">
                  <c15:fullRef>
                    <c15:sqref>PU!$C$15:$M$15</c15:sqref>
                  </c15:fullRef>
                </c:ext>
              </c:extLst>
              <c:f>PU!$G$15:$M$15</c:f>
              <c:numCache>
                <c:formatCode>General</c:formatCode>
                <c:ptCount val="7"/>
                <c:pt idx="0">
                  <c:v>2009</c:v>
                </c:pt>
                <c:pt idx="1">
                  <c:v>2010</c:v>
                </c:pt>
                <c:pt idx="2">
                  <c:v>2011</c:v>
                </c:pt>
                <c:pt idx="3">
                  <c:v>2012</c:v>
                </c:pt>
                <c:pt idx="4">
                  <c:v>2013</c:v>
                </c:pt>
                <c:pt idx="5">
                  <c:v>2014</c:v>
                </c:pt>
                <c:pt idx="6">
                  <c:v>2015</c:v>
                </c:pt>
              </c:numCache>
            </c:numRef>
          </c:cat>
          <c:val>
            <c:numRef>
              <c:extLst>
                <c:ext xmlns:c15="http://schemas.microsoft.com/office/drawing/2012/chart" uri="{02D57815-91ED-43cb-92C2-25804820EDAC}">
                  <c15:fullRef>
                    <c15:sqref>PU!$C$19:$M$19</c15:sqref>
                  </c15:fullRef>
                </c:ext>
              </c:extLst>
              <c:f>PU!$G$19:$M$19</c:f>
              <c:numCache>
                <c:formatCode>0%</c:formatCode>
                <c:ptCount val="7"/>
                <c:pt idx="0">
                  <c:v>1.8894331700489854E-2</c:v>
                </c:pt>
                <c:pt idx="1">
                  <c:v>2.0156046814044214E-2</c:v>
                </c:pt>
                <c:pt idx="2">
                  <c:v>2.0363281483092924E-2</c:v>
                </c:pt>
                <c:pt idx="3">
                  <c:v>2.247191011235955E-2</c:v>
                </c:pt>
                <c:pt idx="4">
                  <c:v>2.553191489361702E-2</c:v>
                </c:pt>
                <c:pt idx="5">
                  <c:v>2.4674742036787798E-2</c:v>
                </c:pt>
                <c:pt idx="6">
                  <c:v>2.5735294117647058E-2</c:v>
                </c:pt>
              </c:numCache>
            </c:numRef>
          </c:val>
        </c:ser>
        <c:dLbls>
          <c:showLegendKey val="0"/>
          <c:showVal val="0"/>
          <c:showCatName val="0"/>
          <c:showSerName val="0"/>
          <c:showPercent val="0"/>
          <c:showBubbleSize val="0"/>
        </c:dLbls>
        <c:gapWidth val="30"/>
        <c:overlap val="100"/>
        <c:axId val="221757640"/>
        <c:axId val="221758032"/>
      </c:barChart>
      <c:catAx>
        <c:axId val="221757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PE"/>
          </a:p>
        </c:txPr>
        <c:crossAx val="221758032"/>
        <c:crosses val="autoZero"/>
        <c:auto val="1"/>
        <c:lblAlgn val="ctr"/>
        <c:lblOffset val="100"/>
        <c:noMultiLvlLbl val="0"/>
      </c:catAx>
      <c:valAx>
        <c:axId val="2217580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PE"/>
          </a:p>
        </c:txPr>
        <c:crossAx val="221757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P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r>
              <a:rPr lang="es-PE" sz="1600" b="1">
                <a:solidFill>
                  <a:sysClr val="windowText" lastClr="000000"/>
                </a:solidFill>
              </a:rPr>
              <a:t>GRAFICO 7 .- VENTA Y EBITDA LINDLEY </a:t>
            </a:r>
            <a:r>
              <a:rPr lang="es-PE" sz="1050" b="1">
                <a:solidFill>
                  <a:sysClr val="windowText" lastClr="000000"/>
                </a:solidFill>
              </a:rPr>
              <a:t>(Millones</a:t>
            </a:r>
            <a:r>
              <a:rPr lang="es-PE" sz="1050" b="1" baseline="0">
                <a:solidFill>
                  <a:sysClr val="windowText" lastClr="000000"/>
                </a:solidFill>
              </a:rPr>
              <a:t> S/)</a:t>
            </a:r>
            <a:r>
              <a:rPr lang="es-PE" sz="1050" b="1">
                <a:solidFill>
                  <a:sysClr val="windowText" lastClr="000000"/>
                </a:solidFill>
              </a:rPr>
              <a:t> </a:t>
            </a:r>
            <a:endParaRPr lang="es-PE" sz="1600" b="1">
              <a:solidFill>
                <a:sysClr val="windowText" lastClr="000000"/>
              </a:solidFill>
            </a:endParaRPr>
          </a:p>
        </c:rich>
      </c:tx>
      <c:layout>
        <c:manualLayout>
          <c:xMode val="edge"/>
          <c:yMode val="edge"/>
          <c:x val="0.14994444444444444"/>
          <c:y val="2.7777777777777776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endParaRPr lang="es-PE"/>
        </a:p>
      </c:txPr>
    </c:title>
    <c:autoTitleDeleted val="0"/>
    <c:plotArea>
      <c:layout/>
      <c:barChart>
        <c:barDir val="col"/>
        <c:grouping val="clustered"/>
        <c:varyColors val="0"/>
        <c:ser>
          <c:idx val="0"/>
          <c:order val="0"/>
          <c:tx>
            <c:strRef>
              <c:f>PU!$O$28</c:f>
              <c:strCache>
                <c:ptCount val="1"/>
                <c:pt idx="0">
                  <c:v>Ventas Netas</c:v>
                </c:pt>
              </c:strCache>
            </c:strRef>
          </c:tx>
          <c:spPr>
            <a:solidFill>
              <a:schemeClr val="accent1"/>
            </a:solidFill>
            <a:ln>
              <a:noFill/>
            </a:ln>
            <a:effectLst/>
          </c:spPr>
          <c:invertIfNegative val="0"/>
          <c:cat>
            <c:numRef>
              <c:f>PU!$P$27:$V$27</c:f>
              <c:numCache>
                <c:formatCode>General</c:formatCode>
                <c:ptCount val="7"/>
                <c:pt idx="0">
                  <c:v>2009</c:v>
                </c:pt>
                <c:pt idx="1">
                  <c:v>2010</c:v>
                </c:pt>
                <c:pt idx="2">
                  <c:v>2011</c:v>
                </c:pt>
                <c:pt idx="3">
                  <c:v>2012</c:v>
                </c:pt>
                <c:pt idx="4">
                  <c:v>2013</c:v>
                </c:pt>
                <c:pt idx="5">
                  <c:v>2014</c:v>
                </c:pt>
                <c:pt idx="6">
                  <c:v>2015</c:v>
                </c:pt>
              </c:numCache>
            </c:numRef>
          </c:cat>
          <c:val>
            <c:numRef>
              <c:f>PU!$P$28:$V$28</c:f>
              <c:numCache>
                <c:formatCode>_ * #,##0_ ;_ * \-#,##0_ ;_ * "-"??_ ;_ @_ </c:formatCode>
                <c:ptCount val="7"/>
                <c:pt idx="0">
                  <c:v>494.21653407125552</c:v>
                </c:pt>
                <c:pt idx="1">
                  <c:v>547.54325382698471</c:v>
                </c:pt>
                <c:pt idx="2">
                  <c:v>655.47348906192065</c:v>
                </c:pt>
                <c:pt idx="3">
                  <c:v>804.0192081536652</c:v>
                </c:pt>
                <c:pt idx="4">
                  <c:v>756.7997138769673</c:v>
                </c:pt>
                <c:pt idx="5">
                  <c:v>745.42575250836114</c:v>
                </c:pt>
                <c:pt idx="6">
                  <c:v>718.01906158357758</c:v>
                </c:pt>
              </c:numCache>
            </c:numRef>
          </c:val>
        </c:ser>
        <c:dLbls>
          <c:showLegendKey val="0"/>
          <c:showVal val="0"/>
          <c:showCatName val="0"/>
          <c:showSerName val="0"/>
          <c:showPercent val="0"/>
          <c:showBubbleSize val="0"/>
        </c:dLbls>
        <c:gapWidth val="40"/>
        <c:axId val="223507872"/>
        <c:axId val="223508264"/>
      </c:barChart>
      <c:lineChart>
        <c:grouping val="standard"/>
        <c:varyColors val="0"/>
        <c:ser>
          <c:idx val="1"/>
          <c:order val="1"/>
          <c:tx>
            <c:strRef>
              <c:f>PU!$O$29</c:f>
              <c:strCache>
                <c:ptCount val="1"/>
                <c:pt idx="0">
                  <c:v>EBITDA</c:v>
                </c:pt>
              </c:strCache>
            </c:strRef>
          </c:tx>
          <c:spPr>
            <a:ln w="28575" cap="rnd">
              <a:solidFill>
                <a:schemeClr val="accent2"/>
              </a:solidFill>
              <a:round/>
            </a:ln>
            <a:effectLst/>
          </c:spPr>
          <c:marker>
            <c:symbol val="none"/>
          </c:marker>
          <c:cat>
            <c:numRef>
              <c:f>PU!$P$27:$V$27</c:f>
              <c:numCache>
                <c:formatCode>General</c:formatCode>
                <c:ptCount val="7"/>
                <c:pt idx="0">
                  <c:v>2009</c:v>
                </c:pt>
                <c:pt idx="1">
                  <c:v>2010</c:v>
                </c:pt>
                <c:pt idx="2">
                  <c:v>2011</c:v>
                </c:pt>
                <c:pt idx="3">
                  <c:v>2012</c:v>
                </c:pt>
                <c:pt idx="4">
                  <c:v>2013</c:v>
                </c:pt>
                <c:pt idx="5">
                  <c:v>2014</c:v>
                </c:pt>
                <c:pt idx="6">
                  <c:v>2015</c:v>
                </c:pt>
              </c:numCache>
            </c:numRef>
          </c:cat>
          <c:val>
            <c:numRef>
              <c:f>PU!$P$29:$V$29</c:f>
              <c:numCache>
                <c:formatCode>_ * #,##0_ ;_ * \-#,##0_ ;_ * "-"??_ ;_ @_ </c:formatCode>
                <c:ptCount val="7"/>
                <c:pt idx="0">
                  <c:v>8.2634217858840858E-4</c:v>
                </c:pt>
                <c:pt idx="1">
                  <c:v>7.4963199108068319E-4</c:v>
                </c:pt>
                <c:pt idx="2">
                  <c:v>1.548913311112268E-3</c:v>
                </c:pt>
                <c:pt idx="3">
                  <c:v>1.4104396976633742E-3</c:v>
                </c:pt>
                <c:pt idx="4">
                  <c:v>2.6484023395317189E-3</c:v>
                </c:pt>
                <c:pt idx="5">
                  <c:v>2.7986802520605335E-3</c:v>
                </c:pt>
                <c:pt idx="6">
                  <c:v>3.3924907423749898E-3</c:v>
                </c:pt>
              </c:numCache>
            </c:numRef>
          </c:val>
          <c:smooth val="0"/>
        </c:ser>
        <c:dLbls>
          <c:showLegendKey val="0"/>
          <c:showVal val="0"/>
          <c:showCatName val="0"/>
          <c:showSerName val="0"/>
          <c:showPercent val="0"/>
          <c:showBubbleSize val="0"/>
        </c:dLbls>
        <c:marker val="1"/>
        <c:smooth val="0"/>
        <c:axId val="223509048"/>
        <c:axId val="223508656"/>
      </c:lineChart>
      <c:catAx>
        <c:axId val="22350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PE"/>
          </a:p>
        </c:txPr>
        <c:crossAx val="223508264"/>
        <c:crosses val="autoZero"/>
        <c:auto val="1"/>
        <c:lblAlgn val="ctr"/>
        <c:lblOffset val="100"/>
        <c:noMultiLvlLbl val="0"/>
      </c:catAx>
      <c:valAx>
        <c:axId val="223508264"/>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PE"/>
          </a:p>
        </c:txPr>
        <c:crossAx val="223507872"/>
        <c:crosses val="autoZero"/>
        <c:crossBetween val="between"/>
      </c:valAx>
      <c:valAx>
        <c:axId val="223508656"/>
        <c:scaling>
          <c:orientation val="minMax"/>
        </c:scaling>
        <c:delete val="0"/>
        <c:axPos val="r"/>
        <c:numFmt formatCode="_ * #,##0_ ;_ * \-#,##0_ ;_ * &quot;-&quot;??_ ;_ @_ "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PE"/>
          </a:p>
        </c:txPr>
        <c:crossAx val="223509048"/>
        <c:crosses val="max"/>
        <c:crossBetween val="between"/>
      </c:valAx>
      <c:catAx>
        <c:axId val="223509048"/>
        <c:scaling>
          <c:orientation val="minMax"/>
        </c:scaling>
        <c:delete val="1"/>
        <c:axPos val="b"/>
        <c:numFmt formatCode="General" sourceLinked="1"/>
        <c:majorTickMark val="out"/>
        <c:minorTickMark val="none"/>
        <c:tickLblPos val="nextTo"/>
        <c:crossAx val="2235086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P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PE"/>
              <a:t>Costo de Produccion 2015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PE"/>
        </a:p>
      </c:txPr>
    </c:title>
    <c:autoTitleDeleted val="0"/>
    <c:plotArea>
      <c:layout>
        <c:manualLayout>
          <c:layoutTarget val="inner"/>
          <c:xMode val="edge"/>
          <c:yMode val="edge"/>
          <c:x val="3.0168943911418715E-2"/>
          <c:y val="0.1639125838436862"/>
          <c:w val="0.61092230337783637"/>
          <c:h val="0.73728310002916297"/>
        </c:manualLayout>
      </c:layout>
      <c:barChart>
        <c:barDir val="col"/>
        <c:grouping val="percentStacked"/>
        <c:varyColors val="0"/>
        <c:ser>
          <c:idx val="0"/>
          <c:order val="0"/>
          <c:tx>
            <c:strRef>
              <c:f>'Costo de Produccion'!$S$8</c:f>
              <c:strCache>
                <c:ptCount val="1"/>
                <c:pt idx="0">
                  <c:v>Formula (Concentrado)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'Costo de Produccion'!$T$8</c:f>
              <c:numCache>
                <c:formatCode>0%</c:formatCode>
                <c:ptCount val="1"/>
                <c:pt idx="0">
                  <c:v>0.43</c:v>
                </c:pt>
              </c:numCache>
            </c:numRef>
          </c:val>
        </c:ser>
        <c:ser>
          <c:idx val="1"/>
          <c:order val="1"/>
          <c:tx>
            <c:strRef>
              <c:f>'Costo de Produccion'!$S$9</c:f>
              <c:strCache>
                <c:ptCount val="1"/>
                <c:pt idx="0">
                  <c:v>Azucar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'Costo de Produccion'!$T$9</c:f>
              <c:numCache>
                <c:formatCode>0%</c:formatCode>
                <c:ptCount val="1"/>
                <c:pt idx="0">
                  <c:v>0.19</c:v>
                </c:pt>
              </c:numCache>
            </c:numRef>
          </c:val>
        </c:ser>
        <c:ser>
          <c:idx val="2"/>
          <c:order val="2"/>
          <c:tx>
            <c:strRef>
              <c:f>'Costo de Produccion'!$S$10</c:f>
              <c:strCache>
                <c:ptCount val="1"/>
                <c:pt idx="0">
                  <c:v>Botella PET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'Costo de Produccion'!$T$10</c:f>
              <c:numCache>
                <c:formatCode>0%</c:formatCode>
                <c:ptCount val="1"/>
                <c:pt idx="0">
                  <c:v>0.19</c:v>
                </c:pt>
              </c:numCache>
            </c:numRef>
          </c:val>
        </c:ser>
        <c:ser>
          <c:idx val="3"/>
          <c:order val="3"/>
          <c:tx>
            <c:strRef>
              <c:f>'Costo de Produccion'!$S$11</c:f>
              <c:strCache>
                <c:ptCount val="1"/>
                <c:pt idx="0">
                  <c:v>Tapa PET</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'Costo de Produccion'!$T$11</c:f>
              <c:numCache>
                <c:formatCode>0%</c:formatCode>
                <c:ptCount val="1"/>
                <c:pt idx="0">
                  <c:v>0.05</c:v>
                </c:pt>
              </c:numCache>
            </c:numRef>
          </c:val>
        </c:ser>
        <c:ser>
          <c:idx val="4"/>
          <c:order val="4"/>
          <c:tx>
            <c:strRef>
              <c:f>'Costo de Produccion'!$S$12</c:f>
              <c:strCache>
                <c:ptCount val="1"/>
                <c:pt idx="0">
                  <c:v>Otros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'Costo de Produccion'!$T$12</c:f>
              <c:numCache>
                <c:formatCode>0%</c:formatCode>
                <c:ptCount val="1"/>
                <c:pt idx="0">
                  <c:v>0.14000000000000001</c:v>
                </c:pt>
              </c:numCache>
            </c:numRef>
          </c:val>
        </c:ser>
        <c:dLbls>
          <c:dLblPos val="ctr"/>
          <c:showLegendKey val="0"/>
          <c:showVal val="1"/>
          <c:showCatName val="0"/>
          <c:showSerName val="0"/>
          <c:showPercent val="0"/>
          <c:showBubbleSize val="0"/>
        </c:dLbls>
        <c:gapWidth val="79"/>
        <c:overlap val="100"/>
        <c:axId val="223510224"/>
        <c:axId val="223510616"/>
      </c:barChart>
      <c:catAx>
        <c:axId val="223510224"/>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PE"/>
          </a:p>
        </c:txPr>
        <c:crossAx val="223510616"/>
        <c:crosses val="autoZero"/>
        <c:auto val="1"/>
        <c:lblAlgn val="ctr"/>
        <c:lblOffset val="100"/>
        <c:noMultiLvlLbl val="0"/>
      </c:catAx>
      <c:valAx>
        <c:axId val="223510616"/>
        <c:scaling>
          <c:orientation val="minMax"/>
        </c:scaling>
        <c:delete val="1"/>
        <c:axPos val="l"/>
        <c:numFmt formatCode="0%" sourceLinked="1"/>
        <c:majorTickMark val="none"/>
        <c:minorTickMark val="none"/>
        <c:tickLblPos val="nextTo"/>
        <c:crossAx val="223510224"/>
        <c:crosses val="autoZero"/>
        <c:crossBetween val="between"/>
      </c:valAx>
      <c:spPr>
        <a:noFill/>
        <a:ln>
          <a:noFill/>
        </a:ln>
        <a:effectLst/>
      </c:spPr>
    </c:plotArea>
    <c:legend>
      <c:legendPos val="t"/>
      <c:layout>
        <c:manualLayout>
          <c:xMode val="edge"/>
          <c:yMode val="edge"/>
          <c:x val="0.53327936381810614"/>
          <c:y val="0.33578703703703705"/>
          <c:w val="0.44516810045420768"/>
          <c:h val="0.419869130941965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chart>
  <c:spPr>
    <a:solidFill>
      <a:schemeClr val="lt1"/>
    </a:solidFill>
    <a:ln w="9525" cap="flat" cmpd="sng" algn="ctr">
      <a:solidFill>
        <a:schemeClr val="tx1"/>
      </a:solidFill>
      <a:round/>
    </a:ln>
    <a:effectLst/>
  </c:spPr>
  <c:txPr>
    <a:bodyPr/>
    <a:lstStyle/>
    <a:p>
      <a:pPr>
        <a:defRPr/>
      </a:pPr>
      <a:endParaRPr lang="es-P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r>
              <a:rPr lang="es-PE" sz="1800" b="1">
                <a:solidFill>
                  <a:sysClr val="windowText" lastClr="000000"/>
                </a:solidFill>
              </a:rPr>
              <a:t>GRAFICA 12.- COSTO</a:t>
            </a:r>
            <a:r>
              <a:rPr lang="es-PE" sz="1800" b="1" baseline="0">
                <a:solidFill>
                  <a:sysClr val="windowText" lastClr="000000"/>
                </a:solidFill>
              </a:rPr>
              <a:t> DE PRODUCCION</a:t>
            </a:r>
            <a:r>
              <a:rPr lang="es-PE" sz="1800" b="1">
                <a:solidFill>
                  <a:sysClr val="windowText" lastClr="000000"/>
                </a:solidFill>
              </a:rPr>
              <a:t> </a:t>
            </a:r>
          </a:p>
        </c:rich>
      </c:tx>
      <c:layout>
        <c:manualLayout>
          <c:xMode val="edge"/>
          <c:yMode val="edge"/>
          <c:x val="0.15299139009492974"/>
          <c:y val="3.3819807470287677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ysClr val="windowText" lastClr="000000"/>
              </a:solidFill>
              <a:latin typeface="+mn-lt"/>
              <a:ea typeface="+mn-ea"/>
              <a:cs typeface="+mn-cs"/>
            </a:defRPr>
          </a:pPr>
          <a:endParaRPr lang="es-PE"/>
        </a:p>
      </c:txPr>
    </c:title>
    <c:autoTitleDeleted val="0"/>
    <c:plotArea>
      <c:layout>
        <c:manualLayout>
          <c:layoutTarget val="inner"/>
          <c:xMode val="edge"/>
          <c:yMode val="edge"/>
          <c:x val="3.6028944980008332E-2"/>
          <c:y val="0.16391254701584565"/>
          <c:w val="0.92930870557068235"/>
          <c:h val="0.64288771424748903"/>
        </c:manualLayout>
      </c:layout>
      <c:barChart>
        <c:barDir val="col"/>
        <c:grouping val="percentStacked"/>
        <c:varyColors val="0"/>
        <c:ser>
          <c:idx val="0"/>
          <c:order val="0"/>
          <c:tx>
            <c:strRef>
              <c:f>'Costo de Produccion'!$S$29</c:f>
              <c:strCache>
                <c:ptCount val="1"/>
                <c:pt idx="0">
                  <c:v>Concentrado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'Costo de Produccion'!$T$28:$Y$28</c:f>
              <c:numCache>
                <c:formatCode>General</c:formatCode>
                <c:ptCount val="6"/>
                <c:pt idx="0">
                  <c:v>2010</c:v>
                </c:pt>
                <c:pt idx="1">
                  <c:v>2011</c:v>
                </c:pt>
                <c:pt idx="2">
                  <c:v>2012</c:v>
                </c:pt>
                <c:pt idx="3">
                  <c:v>2013</c:v>
                </c:pt>
                <c:pt idx="4">
                  <c:v>2014</c:v>
                </c:pt>
                <c:pt idx="5">
                  <c:v>2015</c:v>
                </c:pt>
              </c:numCache>
            </c:numRef>
          </c:cat>
          <c:val>
            <c:numRef>
              <c:f>'Costo de Produccion'!$T$29:$Y$29</c:f>
              <c:numCache>
                <c:formatCode>0%</c:formatCode>
                <c:ptCount val="6"/>
                <c:pt idx="0">
                  <c:v>0.31853492220629742</c:v>
                </c:pt>
                <c:pt idx="1">
                  <c:v>0.27305981496113807</c:v>
                </c:pt>
                <c:pt idx="2">
                  <c:v>0.31933526509065874</c:v>
                </c:pt>
                <c:pt idx="3">
                  <c:v>0.25801053496337767</c:v>
                </c:pt>
                <c:pt idx="4">
                  <c:v>0.33491681532030537</c:v>
                </c:pt>
                <c:pt idx="5">
                  <c:v>0.35662797714306321</c:v>
                </c:pt>
              </c:numCache>
            </c:numRef>
          </c:val>
        </c:ser>
        <c:ser>
          <c:idx val="1"/>
          <c:order val="1"/>
          <c:tx>
            <c:strRef>
              <c:f>'Costo de Produccion'!$S$30</c:f>
              <c:strCache>
                <c:ptCount val="1"/>
                <c:pt idx="0">
                  <c:v>Azucar, botella, tapa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'Costo de Produccion'!$T$28:$Y$28</c:f>
              <c:numCache>
                <c:formatCode>General</c:formatCode>
                <c:ptCount val="6"/>
                <c:pt idx="0">
                  <c:v>2010</c:v>
                </c:pt>
                <c:pt idx="1">
                  <c:v>2011</c:v>
                </c:pt>
                <c:pt idx="2">
                  <c:v>2012</c:v>
                </c:pt>
                <c:pt idx="3">
                  <c:v>2013</c:v>
                </c:pt>
                <c:pt idx="4">
                  <c:v>2014</c:v>
                </c:pt>
                <c:pt idx="5">
                  <c:v>2015</c:v>
                </c:pt>
              </c:numCache>
            </c:numRef>
          </c:cat>
          <c:val>
            <c:numRef>
              <c:f>'Costo de Produccion'!$T$30:$Y$30</c:f>
              <c:numCache>
                <c:formatCode>0%</c:formatCode>
                <c:ptCount val="6"/>
                <c:pt idx="0">
                  <c:v>0.49161021143929423</c:v>
                </c:pt>
                <c:pt idx="1">
                  <c:v>0.54158337609353313</c:v>
                </c:pt>
                <c:pt idx="2">
                  <c:v>0.48952977966490713</c:v>
                </c:pt>
                <c:pt idx="3">
                  <c:v>0.54496926183911898</c:v>
                </c:pt>
                <c:pt idx="4">
                  <c:v>0.48079774291901078</c:v>
                </c:pt>
                <c:pt idx="5">
                  <c:v>0.43488973711173884</c:v>
                </c:pt>
              </c:numCache>
            </c:numRef>
          </c:val>
        </c:ser>
        <c:ser>
          <c:idx val="2"/>
          <c:order val="2"/>
          <c:tx>
            <c:strRef>
              <c:f>'Costo de Produccion'!$S$31</c:f>
              <c:strCache>
                <c:ptCount val="1"/>
                <c:pt idx="0">
                  <c:v>Depreciación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'Costo de Produccion'!$T$28:$Y$28</c:f>
              <c:numCache>
                <c:formatCode>General</c:formatCode>
                <c:ptCount val="6"/>
                <c:pt idx="0">
                  <c:v>2010</c:v>
                </c:pt>
                <c:pt idx="1">
                  <c:v>2011</c:v>
                </c:pt>
                <c:pt idx="2">
                  <c:v>2012</c:v>
                </c:pt>
                <c:pt idx="3">
                  <c:v>2013</c:v>
                </c:pt>
                <c:pt idx="4">
                  <c:v>2014</c:v>
                </c:pt>
                <c:pt idx="5">
                  <c:v>2015</c:v>
                </c:pt>
              </c:numCache>
            </c:numRef>
          </c:cat>
          <c:val>
            <c:numRef>
              <c:f>'Costo de Produccion'!$T$31:$Y$31</c:f>
              <c:numCache>
                <c:formatCode>0%</c:formatCode>
                <c:ptCount val="6"/>
                <c:pt idx="0">
                  <c:v>4.6332688130734802E-2</c:v>
                </c:pt>
                <c:pt idx="1">
                  <c:v>4.6675250186518413E-2</c:v>
                </c:pt>
                <c:pt idx="2">
                  <c:v>4.9709519164562774E-2</c:v>
                </c:pt>
                <c:pt idx="3">
                  <c:v>5.2695301931880878E-2</c:v>
                </c:pt>
                <c:pt idx="4">
                  <c:v>5.4001934449602232E-2</c:v>
                </c:pt>
                <c:pt idx="5">
                  <c:v>5.8530811333671218E-2</c:v>
                </c:pt>
              </c:numCache>
            </c:numRef>
          </c:val>
        </c:ser>
        <c:ser>
          <c:idx val="3"/>
          <c:order val="3"/>
          <c:tx>
            <c:strRef>
              <c:f>'Costo de Produccion'!$S$32</c:f>
              <c:strCache>
                <c:ptCount val="1"/>
                <c:pt idx="0">
                  <c:v>Otros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'Costo de Produccion'!$T$28:$Y$28</c:f>
              <c:numCache>
                <c:formatCode>General</c:formatCode>
                <c:ptCount val="6"/>
                <c:pt idx="0">
                  <c:v>2010</c:v>
                </c:pt>
                <c:pt idx="1">
                  <c:v>2011</c:v>
                </c:pt>
                <c:pt idx="2">
                  <c:v>2012</c:v>
                </c:pt>
                <c:pt idx="3">
                  <c:v>2013</c:v>
                </c:pt>
                <c:pt idx="4">
                  <c:v>2014</c:v>
                </c:pt>
                <c:pt idx="5">
                  <c:v>2015</c:v>
                </c:pt>
              </c:numCache>
            </c:numRef>
          </c:cat>
          <c:val>
            <c:numRef>
              <c:f>'Costo de Produccion'!$T$32:$Y$32</c:f>
              <c:numCache>
                <c:formatCode>0%</c:formatCode>
                <c:ptCount val="6"/>
                <c:pt idx="0">
                  <c:v>0.14352217822367352</c:v>
                </c:pt>
                <c:pt idx="1">
                  <c:v>0.13868155875881044</c:v>
                </c:pt>
                <c:pt idx="2">
                  <c:v>0.14142543607987149</c:v>
                </c:pt>
                <c:pt idx="3">
                  <c:v>0.1443249012656225</c:v>
                </c:pt>
                <c:pt idx="4">
                  <c:v>0.13028350731108157</c:v>
                </c:pt>
                <c:pt idx="5">
                  <c:v>0.14995147441152662</c:v>
                </c:pt>
              </c:numCache>
            </c:numRef>
          </c:val>
        </c:ser>
        <c:dLbls>
          <c:dLblPos val="ctr"/>
          <c:showLegendKey val="0"/>
          <c:showVal val="1"/>
          <c:showCatName val="0"/>
          <c:showSerName val="0"/>
          <c:showPercent val="0"/>
          <c:showBubbleSize val="0"/>
        </c:dLbls>
        <c:gapWidth val="40"/>
        <c:overlap val="100"/>
        <c:axId val="223511400"/>
        <c:axId val="223511792"/>
      </c:barChart>
      <c:catAx>
        <c:axId val="22351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PE"/>
          </a:p>
        </c:txPr>
        <c:crossAx val="223511792"/>
        <c:crosses val="autoZero"/>
        <c:auto val="1"/>
        <c:lblAlgn val="ctr"/>
        <c:lblOffset val="100"/>
        <c:noMultiLvlLbl val="0"/>
      </c:catAx>
      <c:valAx>
        <c:axId val="223511792"/>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23511400"/>
        <c:crosses val="autoZero"/>
        <c:crossBetween val="between"/>
      </c:valAx>
      <c:spPr>
        <a:noFill/>
        <a:ln>
          <a:noFill/>
        </a:ln>
        <a:effectLst/>
      </c:spPr>
    </c:plotArea>
    <c:legend>
      <c:legendPos val="b"/>
      <c:layout>
        <c:manualLayout>
          <c:xMode val="edge"/>
          <c:yMode val="edge"/>
          <c:x val="6.2102975445826283E-2"/>
          <c:y val="0.90662210636606488"/>
          <c:w val="0.85617661343733897"/>
          <c:h val="8.6045317797621881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PE"/>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s-P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marker>
            <c:symbol val="none"/>
          </c:marker>
          <c:cat>
            <c:numRef>
              <c:f>Commoditie!$G$11:$G$41</c:f>
              <c:numCache>
                <c:formatCode>General</c:formatCode>
                <c:ptCount val="31"/>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numCache>
            </c:numRef>
          </c:cat>
          <c:val>
            <c:numRef>
              <c:f>Commoditie!$H$11:$H$41</c:f>
              <c:numCache>
                <c:formatCode>_(* #,##0.00_);_(* \(#,##0.00\);_(* "-"??_);_(@_)</c:formatCode>
                <c:ptCount val="31"/>
                <c:pt idx="0">
                  <c:v>137.17099999999999</c:v>
                </c:pt>
                <c:pt idx="1">
                  <c:v>148.95916666666665</c:v>
                </c:pt>
                <c:pt idx="2">
                  <c:v>224.74250000000004</c:v>
                </c:pt>
                <c:pt idx="3">
                  <c:v>282.3191666666666</c:v>
                </c:pt>
                <c:pt idx="4">
                  <c:v>275.81583333333333</c:v>
                </c:pt>
                <c:pt idx="5">
                  <c:v>197.90166666666667</c:v>
                </c:pt>
                <c:pt idx="6">
                  <c:v>199.94166666666663</c:v>
                </c:pt>
                <c:pt idx="7">
                  <c:v>220.905</c:v>
                </c:pt>
                <c:pt idx="8">
                  <c:v>266.9425</c:v>
                </c:pt>
                <c:pt idx="9">
                  <c:v>292.73666666666662</c:v>
                </c:pt>
                <c:pt idx="10">
                  <c:v>263.56250000000006</c:v>
                </c:pt>
                <c:pt idx="11">
                  <c:v>251.36166666666668</c:v>
                </c:pt>
                <c:pt idx="12">
                  <c:v>196.61416666666665</c:v>
                </c:pt>
                <c:pt idx="13">
                  <c:v>138.11999999999998</c:v>
                </c:pt>
                <c:pt idx="14">
                  <c:v>178.11583333333337</c:v>
                </c:pt>
                <c:pt idx="15">
                  <c:v>181.47416666666666</c:v>
                </c:pt>
                <c:pt idx="16">
                  <c:v>137.49499999999998</c:v>
                </c:pt>
                <c:pt idx="17">
                  <c:v>152.65166666666667</c:v>
                </c:pt>
                <c:pt idx="18">
                  <c:v>166.3391666666667</c:v>
                </c:pt>
                <c:pt idx="19">
                  <c:v>222.02333333333331</c:v>
                </c:pt>
                <c:pt idx="20">
                  <c:v>326.02583333333331</c:v>
                </c:pt>
                <c:pt idx="21">
                  <c:v>219.50666666666666</c:v>
                </c:pt>
                <c:pt idx="22">
                  <c:v>274.53083333333336</c:v>
                </c:pt>
                <c:pt idx="23">
                  <c:v>400.13749999999999</c:v>
                </c:pt>
                <c:pt idx="24">
                  <c:v>460.58249999999998</c:v>
                </c:pt>
                <c:pt idx="25">
                  <c:v>578.39916666666659</c:v>
                </c:pt>
                <c:pt idx="26">
                  <c:v>471.25583333333333</c:v>
                </c:pt>
                <c:pt idx="27">
                  <c:v>390.42</c:v>
                </c:pt>
                <c:pt idx="28">
                  <c:v>377.57750000000004</c:v>
                </c:pt>
                <c:pt idx="29">
                  <c:v>291.83666666666664</c:v>
                </c:pt>
                <c:pt idx="30">
                  <c:v>304.01499999999999</c:v>
                </c:pt>
              </c:numCache>
            </c:numRef>
          </c:val>
          <c:smooth val="0"/>
        </c:ser>
        <c:dLbls>
          <c:showLegendKey val="0"/>
          <c:showVal val="0"/>
          <c:showCatName val="0"/>
          <c:showSerName val="0"/>
          <c:showPercent val="0"/>
          <c:showBubbleSize val="0"/>
        </c:dLbls>
        <c:smooth val="0"/>
        <c:axId val="223512576"/>
        <c:axId val="223512968"/>
      </c:lineChart>
      <c:catAx>
        <c:axId val="223512576"/>
        <c:scaling>
          <c:orientation val="minMax"/>
        </c:scaling>
        <c:delete val="0"/>
        <c:axPos val="b"/>
        <c:numFmt formatCode="General" sourceLinked="1"/>
        <c:majorTickMark val="out"/>
        <c:minorTickMark val="none"/>
        <c:tickLblPos val="nextTo"/>
        <c:crossAx val="223512968"/>
        <c:crosses val="autoZero"/>
        <c:auto val="1"/>
        <c:lblAlgn val="ctr"/>
        <c:lblOffset val="100"/>
        <c:noMultiLvlLbl val="0"/>
      </c:catAx>
      <c:valAx>
        <c:axId val="223512968"/>
        <c:scaling>
          <c:orientation val="minMax"/>
        </c:scaling>
        <c:delete val="0"/>
        <c:axPos val="l"/>
        <c:majorGridlines/>
        <c:numFmt formatCode="_(* #,##0.00_);_(* \(#,##0.00\);_(* &quot;-&quot;??_);_(@_)" sourceLinked="1"/>
        <c:majorTickMark val="out"/>
        <c:minorTickMark val="none"/>
        <c:tickLblPos val="nextTo"/>
        <c:crossAx val="2235125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r>
              <a:rPr lang="en-US" sz="1600"/>
              <a:t>GRAFICO 13.-MARGEN OPERATIVO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endParaRPr lang="es-PE"/>
        </a:p>
      </c:txPr>
    </c:title>
    <c:autoTitleDeleted val="0"/>
    <c:plotArea>
      <c:layout>
        <c:manualLayout>
          <c:layoutTarget val="inner"/>
          <c:xMode val="edge"/>
          <c:yMode val="edge"/>
          <c:x val="5.0599643810381366E-2"/>
          <c:y val="0.1931663952515289"/>
          <c:w val="0.89880071237923731"/>
          <c:h val="0.69821522864983698"/>
        </c:manualLayout>
      </c:layout>
      <c:barChart>
        <c:barDir val="col"/>
        <c:grouping val="clustered"/>
        <c:varyColors val="0"/>
        <c:ser>
          <c:idx val="0"/>
          <c:order val="0"/>
          <c:tx>
            <c:strRef>
              <c:f>Ratios!$B$105</c:f>
              <c:strCache>
                <c:ptCount val="1"/>
                <c:pt idx="0">
                  <c:v>Margen Operativo</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Ratios!$C$3:$I$3</c:f>
              <c:numCache>
                <c:formatCode>General</c:formatCode>
                <c:ptCount val="7"/>
                <c:pt idx="0">
                  <c:v>2015</c:v>
                </c:pt>
                <c:pt idx="1">
                  <c:v>2014</c:v>
                </c:pt>
                <c:pt idx="2">
                  <c:v>2013</c:v>
                </c:pt>
                <c:pt idx="3">
                  <c:v>2012</c:v>
                </c:pt>
                <c:pt idx="4">
                  <c:v>2011</c:v>
                </c:pt>
                <c:pt idx="5">
                  <c:v>2010</c:v>
                </c:pt>
                <c:pt idx="6">
                  <c:v>2009</c:v>
                </c:pt>
              </c:numCache>
            </c:numRef>
          </c:cat>
          <c:val>
            <c:numRef>
              <c:f>Ratios!$C$105:$I$105</c:f>
              <c:numCache>
                <c:formatCode>0.00%</c:formatCode>
                <c:ptCount val="7"/>
                <c:pt idx="0">
                  <c:v>9.0787009714328695E-2</c:v>
                </c:pt>
                <c:pt idx="1">
                  <c:v>7.6801522597352914E-2</c:v>
                </c:pt>
                <c:pt idx="2">
                  <c:v>7.3313383856046341E-2</c:v>
                </c:pt>
                <c:pt idx="3">
                  <c:v>7.6003886784008115E-2</c:v>
                </c:pt>
                <c:pt idx="4">
                  <c:v>6.5731537063895881E-2</c:v>
                </c:pt>
                <c:pt idx="5">
                  <c:v>7.2141394714993035E-2</c:v>
                </c:pt>
                <c:pt idx="6">
                  <c:v>8.1335125071739317E-2</c:v>
                </c:pt>
              </c:numCache>
            </c:numRef>
          </c:val>
        </c:ser>
        <c:dLbls>
          <c:dLblPos val="inEnd"/>
          <c:showLegendKey val="0"/>
          <c:showVal val="1"/>
          <c:showCatName val="0"/>
          <c:showSerName val="0"/>
          <c:showPercent val="0"/>
          <c:showBubbleSize val="0"/>
        </c:dLbls>
        <c:gapWidth val="65"/>
        <c:axId val="198752696"/>
        <c:axId val="198753080"/>
      </c:barChart>
      <c:catAx>
        <c:axId val="198752696"/>
        <c:scaling>
          <c:orientation val="maxMin"/>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100" b="1" i="0" u="none" strike="noStrike" kern="1200" cap="all" baseline="0">
                <a:solidFill>
                  <a:schemeClr val="tx1"/>
                </a:solidFill>
                <a:latin typeface="+mn-lt"/>
                <a:ea typeface="+mn-ea"/>
                <a:cs typeface="+mn-cs"/>
              </a:defRPr>
            </a:pPr>
            <a:endParaRPr lang="es-PE"/>
          </a:p>
        </c:txPr>
        <c:crossAx val="198753080"/>
        <c:crosses val="autoZero"/>
        <c:auto val="1"/>
        <c:lblAlgn val="ctr"/>
        <c:lblOffset val="100"/>
        <c:noMultiLvlLbl val="0"/>
      </c:catAx>
      <c:valAx>
        <c:axId val="198753080"/>
        <c:scaling>
          <c:orientation val="minMax"/>
        </c:scaling>
        <c:delete val="1"/>
        <c:axPos val="r"/>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extTo"/>
        <c:crossAx val="198752696"/>
        <c:crosses val="autoZero"/>
        <c:crossBetween val="between"/>
      </c:valAx>
      <c:spPr>
        <a:noFill/>
        <a:ln>
          <a:noFill/>
        </a:ln>
        <a:effectLst/>
      </c:spPr>
    </c:plotArea>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P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r>
              <a:rPr lang="en-US" sz="1600"/>
              <a:t>GRAFICO 16.-MARGEN BRUTO</a:t>
            </a:r>
          </a:p>
          <a:p>
            <a:pPr>
              <a:defRPr sz="1600"/>
            </a:pPr>
            <a:endParaRPr lang="en-US" sz="1600"/>
          </a:p>
        </c:rich>
      </c:tx>
      <c:overlay val="0"/>
      <c:spPr>
        <a:noFill/>
        <a:ln>
          <a:noFill/>
        </a:ln>
        <a:effectLst/>
      </c:spPr>
      <c:txPr>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endParaRPr lang="es-PE"/>
        </a:p>
      </c:txPr>
    </c:title>
    <c:autoTitleDeleted val="0"/>
    <c:plotArea>
      <c:layout>
        <c:manualLayout>
          <c:layoutTarget val="inner"/>
          <c:xMode val="edge"/>
          <c:yMode val="edge"/>
          <c:x val="5.0599643810381366E-2"/>
          <c:y val="0.1931663952515289"/>
          <c:w val="0.89880071237923731"/>
          <c:h val="0.69821522864983698"/>
        </c:manualLayout>
      </c:layout>
      <c:barChart>
        <c:barDir val="col"/>
        <c:grouping val="clustered"/>
        <c:varyColors val="0"/>
        <c:ser>
          <c:idx val="0"/>
          <c:order val="0"/>
          <c:tx>
            <c:strRef>
              <c:f>Ratios!$B$104</c:f>
              <c:strCache>
                <c:ptCount val="1"/>
                <c:pt idx="0">
                  <c:v>Margen bruto</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Ratios!$C$3:$I$3</c:f>
              <c:numCache>
                <c:formatCode>General</c:formatCode>
                <c:ptCount val="7"/>
                <c:pt idx="0">
                  <c:v>2015</c:v>
                </c:pt>
                <c:pt idx="1">
                  <c:v>2014</c:v>
                </c:pt>
                <c:pt idx="2">
                  <c:v>2013</c:v>
                </c:pt>
                <c:pt idx="3">
                  <c:v>2012</c:v>
                </c:pt>
                <c:pt idx="4">
                  <c:v>2011</c:v>
                </c:pt>
                <c:pt idx="5">
                  <c:v>2010</c:v>
                </c:pt>
                <c:pt idx="6">
                  <c:v>2009</c:v>
                </c:pt>
              </c:numCache>
            </c:numRef>
          </c:cat>
          <c:val>
            <c:numRef>
              <c:f>Ratios!$C$104:$I$104</c:f>
              <c:numCache>
                <c:formatCode>0%</c:formatCode>
                <c:ptCount val="7"/>
                <c:pt idx="0">
                  <c:v>0.36580605241285785</c:v>
                </c:pt>
                <c:pt idx="1">
                  <c:v>0.32970675553868561</c:v>
                </c:pt>
                <c:pt idx="2">
                  <c:v>0.33097402094128026</c:v>
                </c:pt>
                <c:pt idx="3">
                  <c:v>0.3202325829707961</c:v>
                </c:pt>
                <c:pt idx="4">
                  <c:v>0.2812289994637438</c:v>
                </c:pt>
                <c:pt idx="5">
                  <c:v>0.29594960888762339</c:v>
                </c:pt>
                <c:pt idx="6">
                  <c:v>0.3072285446324835</c:v>
                </c:pt>
              </c:numCache>
            </c:numRef>
          </c:val>
        </c:ser>
        <c:dLbls>
          <c:dLblPos val="inEnd"/>
          <c:showLegendKey val="0"/>
          <c:showVal val="1"/>
          <c:showCatName val="0"/>
          <c:showSerName val="0"/>
          <c:showPercent val="0"/>
          <c:showBubbleSize val="0"/>
        </c:dLbls>
        <c:gapWidth val="65"/>
        <c:axId val="196276200"/>
        <c:axId val="199286552"/>
      </c:barChart>
      <c:catAx>
        <c:axId val="196276200"/>
        <c:scaling>
          <c:orientation val="maxMin"/>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100" b="1" i="0" u="none" strike="noStrike" kern="1200" cap="all" baseline="0">
                <a:solidFill>
                  <a:schemeClr val="tx1"/>
                </a:solidFill>
                <a:latin typeface="+mn-lt"/>
                <a:ea typeface="+mn-ea"/>
                <a:cs typeface="+mn-cs"/>
              </a:defRPr>
            </a:pPr>
            <a:endParaRPr lang="es-PE"/>
          </a:p>
        </c:txPr>
        <c:crossAx val="199286552"/>
        <c:crosses val="autoZero"/>
        <c:auto val="1"/>
        <c:lblAlgn val="ctr"/>
        <c:lblOffset val="100"/>
        <c:noMultiLvlLbl val="0"/>
      </c:catAx>
      <c:valAx>
        <c:axId val="199286552"/>
        <c:scaling>
          <c:orientation val="minMax"/>
        </c:scaling>
        <c:delete val="1"/>
        <c:axPos val="r"/>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6276200"/>
        <c:crosses val="autoZero"/>
        <c:crossBetween val="between"/>
      </c:valAx>
      <c:spPr>
        <a:noFill/>
        <a:ln>
          <a:noFill/>
        </a:ln>
        <a:effectLst/>
      </c:spPr>
    </c:plotArea>
    <c:plotVisOnly val="1"/>
    <c:dispBlanksAs val="gap"/>
    <c:showDLblsOverMax val="0"/>
  </c:chart>
  <c:spPr>
    <a:noFill/>
    <a:ln w="9525" cap="flat" cmpd="sng" algn="ctr">
      <a:solidFill>
        <a:schemeClr val="dk1">
          <a:lumMod val="25000"/>
          <a:lumOff val="75000"/>
        </a:schemeClr>
      </a:solidFill>
      <a:round/>
    </a:ln>
    <a:effectLst/>
  </c:spPr>
  <c:txPr>
    <a:bodyPr/>
    <a:lstStyle/>
    <a:p>
      <a:pPr>
        <a:defRPr/>
      </a:pPr>
      <a:endParaRPr lang="es-P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solidFill>
                <a:latin typeface="+mn-lt"/>
                <a:ea typeface="+mn-ea"/>
                <a:cs typeface="+mn-cs"/>
              </a:defRPr>
            </a:pPr>
            <a:r>
              <a:rPr lang="es-PE" sz="1600">
                <a:solidFill>
                  <a:schemeClr val="tx1"/>
                </a:solidFill>
              </a:rPr>
              <a:t>GRAFICO 15</a:t>
            </a:r>
            <a:r>
              <a:rPr lang="es-PE" sz="1600" baseline="0">
                <a:solidFill>
                  <a:schemeClr val="tx1"/>
                </a:solidFill>
              </a:rPr>
              <a:t> -</a:t>
            </a:r>
            <a:r>
              <a:rPr lang="es-PE" sz="1600">
                <a:solidFill>
                  <a:schemeClr val="tx1"/>
                </a:solidFill>
              </a:rPr>
              <a:t> CAPITAL DE TRABAJO</a:t>
            </a:r>
          </a:p>
        </c:rich>
      </c:tx>
      <c:layout>
        <c:manualLayout>
          <c:xMode val="edge"/>
          <c:yMode val="edge"/>
          <c:x val="0.16835850725588197"/>
          <c:y val="4.5422434224464868E-2"/>
        </c:manualLayout>
      </c:layout>
      <c:overlay val="0"/>
      <c:spPr>
        <a:solidFill>
          <a:schemeClr val="bg1"/>
        </a:solidFill>
        <a:ln>
          <a:noFill/>
        </a:ln>
        <a:effectLst/>
      </c:spPr>
      <c:txPr>
        <a:bodyPr rot="0" spcFirstLastPara="1" vertOverflow="ellipsis" vert="horz" wrap="square" anchor="ctr" anchorCtr="1"/>
        <a:lstStyle/>
        <a:p>
          <a:pPr>
            <a:defRPr sz="1600" b="1" i="0" u="none" strike="noStrike" kern="1200" cap="all" spc="120" normalizeH="0" baseline="0">
              <a:solidFill>
                <a:schemeClr val="tx1"/>
              </a:solidFill>
              <a:latin typeface="+mn-lt"/>
              <a:ea typeface="+mn-ea"/>
              <a:cs typeface="+mn-cs"/>
            </a:defRPr>
          </a:pPr>
          <a:endParaRPr lang="es-PE"/>
        </a:p>
      </c:txPr>
    </c:title>
    <c:autoTitleDeleted val="0"/>
    <c:plotArea>
      <c:layout>
        <c:manualLayout>
          <c:layoutTarget val="inner"/>
          <c:xMode val="edge"/>
          <c:yMode val="edge"/>
          <c:x val="2.3527279183052842E-2"/>
          <c:y val="3.4861242344706909E-2"/>
          <c:w val="0.95418817930575373"/>
          <c:h val="0.72869466316710418"/>
        </c:manualLayout>
      </c:layout>
      <c:barChart>
        <c:barDir val="col"/>
        <c:grouping val="stacked"/>
        <c:varyColors val="0"/>
        <c:ser>
          <c:idx val="0"/>
          <c:order val="0"/>
          <c:tx>
            <c:strRef>
              <c:f>CapitalTrabajo!$C$64:$F$64</c:f>
              <c:strCache>
                <c:ptCount val="4"/>
                <c:pt idx="0">
                  <c:v>Dias de cobro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CapitalTrabajo!$G$63:$M$63</c:f>
              <c:strCache>
                <c:ptCount val="7"/>
                <c:pt idx="0">
                  <c:v>2010</c:v>
                </c:pt>
                <c:pt idx="1">
                  <c:v>2011</c:v>
                </c:pt>
                <c:pt idx="2">
                  <c:v>2012</c:v>
                </c:pt>
                <c:pt idx="3">
                  <c:v>2013</c:v>
                </c:pt>
                <c:pt idx="4">
                  <c:v>2014</c:v>
                </c:pt>
                <c:pt idx="5">
                  <c:v>2015</c:v>
                </c:pt>
                <c:pt idx="6">
                  <c:v>PROMD</c:v>
                </c:pt>
              </c:strCache>
            </c:strRef>
          </c:cat>
          <c:val>
            <c:numRef>
              <c:f>CapitalTrabajo!$G$64:$M$64</c:f>
              <c:numCache>
                <c:formatCode>_ * #,##0.0_ ;_ * \-#,##0.0_ ;_ * "-"??_ ;_ @_ </c:formatCode>
                <c:ptCount val="7"/>
                <c:pt idx="0">
                  <c:v>19.75058440064079</c:v>
                </c:pt>
                <c:pt idx="1">
                  <c:v>25.35767690467533</c:v>
                </c:pt>
                <c:pt idx="2">
                  <c:v>26.247192021079332</c:v>
                </c:pt>
                <c:pt idx="3">
                  <c:v>30.512473127068411</c:v>
                </c:pt>
                <c:pt idx="4">
                  <c:v>34.328602384084412</c:v>
                </c:pt>
                <c:pt idx="5">
                  <c:v>30.403804445919199</c:v>
                </c:pt>
                <c:pt idx="6">
                  <c:v>25.8</c:v>
                </c:pt>
              </c:numCache>
            </c:numRef>
          </c:val>
        </c:ser>
        <c:ser>
          <c:idx val="1"/>
          <c:order val="1"/>
          <c:tx>
            <c:strRef>
              <c:f>CapitalTrabajo!$C$65:$F$65</c:f>
              <c:strCache>
                <c:ptCount val="4"/>
                <c:pt idx="0">
                  <c:v>Dias de inventario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CapitalTrabajo!$G$63:$M$63</c:f>
              <c:strCache>
                <c:ptCount val="7"/>
                <c:pt idx="0">
                  <c:v>2010</c:v>
                </c:pt>
                <c:pt idx="1">
                  <c:v>2011</c:v>
                </c:pt>
                <c:pt idx="2">
                  <c:v>2012</c:v>
                </c:pt>
                <c:pt idx="3">
                  <c:v>2013</c:v>
                </c:pt>
                <c:pt idx="4">
                  <c:v>2014</c:v>
                </c:pt>
                <c:pt idx="5">
                  <c:v>2015</c:v>
                </c:pt>
                <c:pt idx="6">
                  <c:v>PROMD</c:v>
                </c:pt>
              </c:strCache>
            </c:strRef>
          </c:cat>
          <c:val>
            <c:numRef>
              <c:f>CapitalTrabajo!$G$65:$M$65</c:f>
              <c:numCache>
                <c:formatCode>_ * #,##0.0_ ;_ * \-#,##0.0_ ;_ * "-"??_ ;_ @_ </c:formatCode>
                <c:ptCount val="7"/>
                <c:pt idx="0">
                  <c:v>58.640932957938588</c:v>
                </c:pt>
                <c:pt idx="1">
                  <c:v>58.902632976705192</c:v>
                </c:pt>
                <c:pt idx="2">
                  <c:v>60.213380930131713</c:v>
                </c:pt>
                <c:pt idx="3">
                  <c:v>72.892853870085318</c:v>
                </c:pt>
                <c:pt idx="4">
                  <c:v>67.529305777679966</c:v>
                </c:pt>
                <c:pt idx="5">
                  <c:v>64.753173479018116</c:v>
                </c:pt>
                <c:pt idx="6">
                  <c:v>62</c:v>
                </c:pt>
              </c:numCache>
            </c:numRef>
          </c:val>
        </c:ser>
        <c:ser>
          <c:idx val="2"/>
          <c:order val="2"/>
          <c:tx>
            <c:strRef>
              <c:f>CapitalTrabajo!$C$66:$F$66</c:f>
              <c:strCache>
                <c:ptCount val="4"/>
                <c:pt idx="0">
                  <c:v>Dias de pago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s-P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CapitalTrabajo!$G$63:$M$63</c:f>
              <c:strCache>
                <c:ptCount val="7"/>
                <c:pt idx="0">
                  <c:v>2010</c:v>
                </c:pt>
                <c:pt idx="1">
                  <c:v>2011</c:v>
                </c:pt>
                <c:pt idx="2">
                  <c:v>2012</c:v>
                </c:pt>
                <c:pt idx="3">
                  <c:v>2013</c:v>
                </c:pt>
                <c:pt idx="4">
                  <c:v>2014</c:v>
                </c:pt>
                <c:pt idx="5">
                  <c:v>2015</c:v>
                </c:pt>
                <c:pt idx="6">
                  <c:v>PROMD</c:v>
                </c:pt>
              </c:strCache>
            </c:strRef>
          </c:cat>
          <c:val>
            <c:numRef>
              <c:f>CapitalTrabajo!$G$66:$M$66</c:f>
              <c:numCache>
                <c:formatCode>_ * #,##0.0_ ;_ * \-#,##0.0_ ;_ * "-"??_ ;_ @_ </c:formatCode>
                <c:ptCount val="7"/>
                <c:pt idx="0">
                  <c:v>60.437449390391663</c:v>
                </c:pt>
                <c:pt idx="1">
                  <c:v>67.45080154577019</c:v>
                </c:pt>
                <c:pt idx="2">
                  <c:v>74.564997626637577</c:v>
                </c:pt>
                <c:pt idx="3">
                  <c:v>130.53110559954351</c:v>
                </c:pt>
                <c:pt idx="4">
                  <c:v>153.59636749001032</c:v>
                </c:pt>
                <c:pt idx="5">
                  <c:v>140.31500527569341</c:v>
                </c:pt>
                <c:pt idx="6" formatCode="_(* #,##0.00_);_(* \(#,##0.00\);_(* &quot;-&quot;??_);_(@_)">
                  <c:v>109.4</c:v>
                </c:pt>
              </c:numCache>
            </c:numRef>
          </c:val>
        </c:ser>
        <c:dLbls>
          <c:dLblPos val="ctr"/>
          <c:showLegendKey val="0"/>
          <c:showVal val="1"/>
          <c:showCatName val="0"/>
          <c:showSerName val="0"/>
          <c:showPercent val="0"/>
          <c:showBubbleSize val="0"/>
        </c:dLbls>
        <c:gapWidth val="79"/>
        <c:overlap val="100"/>
        <c:axId val="197473944"/>
        <c:axId val="221228232"/>
      </c:barChart>
      <c:catAx>
        <c:axId val="197473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cap="all" spc="120" normalizeH="0" baseline="0">
                <a:solidFill>
                  <a:sysClr val="windowText" lastClr="000000"/>
                </a:solidFill>
                <a:latin typeface="+mn-lt"/>
                <a:ea typeface="+mn-ea"/>
                <a:cs typeface="+mn-cs"/>
              </a:defRPr>
            </a:pPr>
            <a:endParaRPr lang="es-PE"/>
          </a:p>
        </c:txPr>
        <c:crossAx val="221228232"/>
        <c:crosses val="autoZero"/>
        <c:auto val="1"/>
        <c:lblAlgn val="ctr"/>
        <c:lblOffset val="100"/>
        <c:noMultiLvlLbl val="0"/>
      </c:catAx>
      <c:valAx>
        <c:axId val="221228232"/>
        <c:scaling>
          <c:orientation val="minMax"/>
        </c:scaling>
        <c:delete val="1"/>
        <c:axPos val="l"/>
        <c:numFmt formatCode="_ * #,##0.0_ ;_ * \-#,##0.0_ ;_ * &quot;-&quot;??_ ;_ @_ " sourceLinked="1"/>
        <c:majorTickMark val="none"/>
        <c:minorTickMark val="none"/>
        <c:tickLblPos val="nextTo"/>
        <c:crossAx val="197473944"/>
        <c:crosses val="autoZero"/>
        <c:crossBetween val="between"/>
      </c:valAx>
      <c:spPr>
        <a:noFill/>
        <a:ln>
          <a:noFill/>
        </a:ln>
        <a:effectLst/>
      </c:spPr>
    </c:plotArea>
    <c:legend>
      <c:legendPos val="t"/>
      <c:layout>
        <c:manualLayout>
          <c:xMode val="edge"/>
          <c:yMode val="edge"/>
          <c:x val="3.321259842519686E-2"/>
          <c:y val="0.87745370370370368"/>
          <c:w val="0.96128108263923662"/>
          <c:h val="0.12254629629629629"/>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PE"/>
        </a:p>
      </c:txPr>
    </c:legend>
    <c:plotVisOnly val="1"/>
    <c:dispBlanksAs val="gap"/>
    <c:showDLblsOverMax val="0"/>
  </c:chart>
  <c:spPr>
    <a:solidFill>
      <a:schemeClr val="lt1"/>
    </a:solidFill>
    <a:ln w="9525" cap="flat" cmpd="sng" algn="ctr">
      <a:solidFill>
        <a:sysClr val="windowText" lastClr="000000"/>
      </a:solidFill>
      <a:round/>
    </a:ln>
    <a:effectLst/>
  </c:spPr>
  <c:txPr>
    <a:bodyPr/>
    <a:lstStyle/>
    <a:p>
      <a:pPr>
        <a:defRPr/>
      </a:pPr>
      <a:endParaRPr lang="es-P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strRef>
              <c:f>Lambda!$B$8:$B$143</c:f>
              <c:strCache>
                <c:ptCount val="136"/>
                <c:pt idx="0">
                  <c:v>05/23/2016</c:v>
                </c:pt>
                <c:pt idx="1">
                  <c:v>04/29/2016</c:v>
                </c:pt>
                <c:pt idx="2">
                  <c:v>03/31/2016</c:v>
                </c:pt>
                <c:pt idx="3">
                  <c:v>02/29/2016</c:v>
                </c:pt>
                <c:pt idx="4">
                  <c:v>01/29/2016</c:v>
                </c:pt>
                <c:pt idx="5">
                  <c:v>12/31/2015</c:v>
                </c:pt>
                <c:pt idx="6">
                  <c:v>11/30/2015</c:v>
                </c:pt>
                <c:pt idx="7">
                  <c:v>10/30/2015</c:v>
                </c:pt>
                <c:pt idx="8">
                  <c:v>09/30/2015</c:v>
                </c:pt>
                <c:pt idx="9">
                  <c:v>08/31/2015</c:v>
                </c:pt>
                <c:pt idx="10">
                  <c:v>07/31/2015</c:v>
                </c:pt>
                <c:pt idx="11">
                  <c:v>06/30/2015</c:v>
                </c:pt>
                <c:pt idx="12">
                  <c:v>05/29/2015</c:v>
                </c:pt>
                <c:pt idx="13">
                  <c:v>04/30/2015</c:v>
                </c:pt>
                <c:pt idx="14">
                  <c:v>03/31/2015</c:v>
                </c:pt>
                <c:pt idx="15">
                  <c:v>02/27/2015</c:v>
                </c:pt>
                <c:pt idx="16">
                  <c:v>01/30/2015</c:v>
                </c:pt>
                <c:pt idx="17">
                  <c:v>12/31/2014</c:v>
                </c:pt>
                <c:pt idx="18">
                  <c:v>11/28/2014</c:v>
                </c:pt>
                <c:pt idx="19">
                  <c:v>10/31/2014</c:v>
                </c:pt>
                <c:pt idx="20">
                  <c:v>09/30/2014</c:v>
                </c:pt>
                <c:pt idx="21">
                  <c:v>08/29/2014</c:v>
                </c:pt>
                <c:pt idx="22">
                  <c:v>07/31/2014</c:v>
                </c:pt>
                <c:pt idx="23">
                  <c:v>06/30/2014</c:v>
                </c:pt>
                <c:pt idx="24">
                  <c:v>05/30/2014</c:v>
                </c:pt>
                <c:pt idx="25">
                  <c:v>04/30/2014</c:v>
                </c:pt>
                <c:pt idx="26">
                  <c:v>03/31/2014</c:v>
                </c:pt>
                <c:pt idx="27">
                  <c:v>02/28/2014</c:v>
                </c:pt>
                <c:pt idx="28">
                  <c:v>01/31/2014</c:v>
                </c:pt>
                <c:pt idx="29">
                  <c:v>12/31/2013</c:v>
                </c:pt>
                <c:pt idx="30">
                  <c:v>11/29/2013</c:v>
                </c:pt>
                <c:pt idx="31">
                  <c:v>10/31/2013</c:v>
                </c:pt>
                <c:pt idx="32">
                  <c:v>09/30/2013</c:v>
                </c:pt>
                <c:pt idx="33">
                  <c:v>08/30/2013</c:v>
                </c:pt>
                <c:pt idx="34">
                  <c:v>07/31/2013</c:v>
                </c:pt>
                <c:pt idx="35">
                  <c:v>06/28/2013</c:v>
                </c:pt>
                <c:pt idx="36">
                  <c:v>05/31/2013</c:v>
                </c:pt>
                <c:pt idx="37">
                  <c:v>04/30/2013</c:v>
                </c:pt>
                <c:pt idx="38">
                  <c:v>03/29/2013</c:v>
                </c:pt>
                <c:pt idx="39">
                  <c:v>02/28/2013</c:v>
                </c:pt>
                <c:pt idx="40">
                  <c:v>01/31/2013</c:v>
                </c:pt>
                <c:pt idx="41">
                  <c:v>12/31/2012</c:v>
                </c:pt>
                <c:pt idx="42">
                  <c:v>11/30/2012</c:v>
                </c:pt>
                <c:pt idx="43">
                  <c:v>10/31/2012</c:v>
                </c:pt>
                <c:pt idx="44">
                  <c:v>09/28/2012</c:v>
                </c:pt>
                <c:pt idx="45">
                  <c:v>08/31/2012</c:v>
                </c:pt>
                <c:pt idx="46">
                  <c:v>07/31/2012</c:v>
                </c:pt>
                <c:pt idx="47">
                  <c:v>06/29/2012</c:v>
                </c:pt>
                <c:pt idx="48">
                  <c:v>05/31/2012</c:v>
                </c:pt>
                <c:pt idx="49">
                  <c:v>04/30/2012</c:v>
                </c:pt>
                <c:pt idx="50">
                  <c:v>03/30/2012</c:v>
                </c:pt>
                <c:pt idx="51">
                  <c:v>02/29/2012</c:v>
                </c:pt>
                <c:pt idx="52">
                  <c:v>01/31/2012</c:v>
                </c:pt>
                <c:pt idx="53">
                  <c:v>12/30/2011</c:v>
                </c:pt>
                <c:pt idx="54">
                  <c:v>11/30/2011</c:v>
                </c:pt>
                <c:pt idx="55">
                  <c:v>10/31/2011</c:v>
                </c:pt>
                <c:pt idx="56">
                  <c:v>09/30/2011</c:v>
                </c:pt>
                <c:pt idx="57">
                  <c:v>08/31/2011</c:v>
                </c:pt>
                <c:pt idx="58">
                  <c:v>07/29/2011</c:v>
                </c:pt>
                <c:pt idx="59">
                  <c:v>06/30/2011</c:v>
                </c:pt>
                <c:pt idx="60">
                  <c:v>05/31/2011</c:v>
                </c:pt>
                <c:pt idx="61">
                  <c:v>04/29/2011</c:v>
                </c:pt>
                <c:pt idx="62">
                  <c:v>03/31/2011</c:v>
                </c:pt>
                <c:pt idx="63">
                  <c:v>02/28/2011</c:v>
                </c:pt>
                <c:pt idx="64">
                  <c:v>01/31/2011</c:v>
                </c:pt>
                <c:pt idx="65">
                  <c:v>12/31/2010</c:v>
                </c:pt>
                <c:pt idx="66">
                  <c:v>11/30/2010</c:v>
                </c:pt>
                <c:pt idx="67">
                  <c:v>10/29/2010</c:v>
                </c:pt>
                <c:pt idx="68">
                  <c:v>09/30/2010</c:v>
                </c:pt>
                <c:pt idx="69">
                  <c:v>08/31/2010</c:v>
                </c:pt>
                <c:pt idx="70">
                  <c:v>07/30/2010</c:v>
                </c:pt>
                <c:pt idx="71">
                  <c:v>06/30/2010</c:v>
                </c:pt>
                <c:pt idx="72">
                  <c:v>05/31/2010</c:v>
                </c:pt>
                <c:pt idx="73">
                  <c:v>04/30/2010</c:v>
                </c:pt>
                <c:pt idx="74">
                  <c:v>03/31/2010</c:v>
                </c:pt>
                <c:pt idx="75">
                  <c:v>02/26/2010</c:v>
                </c:pt>
                <c:pt idx="76">
                  <c:v>01/29/2010</c:v>
                </c:pt>
                <c:pt idx="77">
                  <c:v>12/31/2009</c:v>
                </c:pt>
                <c:pt idx="78">
                  <c:v>11/30/2009</c:v>
                </c:pt>
                <c:pt idx="79">
                  <c:v>10/30/2009</c:v>
                </c:pt>
                <c:pt idx="80">
                  <c:v>09/30/2009</c:v>
                </c:pt>
                <c:pt idx="81">
                  <c:v>08/31/2009</c:v>
                </c:pt>
                <c:pt idx="82">
                  <c:v>07/31/2009</c:v>
                </c:pt>
                <c:pt idx="83">
                  <c:v>06/30/2009</c:v>
                </c:pt>
                <c:pt idx="84">
                  <c:v>05/29/2009</c:v>
                </c:pt>
                <c:pt idx="85">
                  <c:v>04/30/2009</c:v>
                </c:pt>
                <c:pt idx="86">
                  <c:v>03/31/2009</c:v>
                </c:pt>
                <c:pt idx="87">
                  <c:v>02/27/2009</c:v>
                </c:pt>
                <c:pt idx="88">
                  <c:v>01/30/2009</c:v>
                </c:pt>
                <c:pt idx="89">
                  <c:v>12/31/2008</c:v>
                </c:pt>
                <c:pt idx="90">
                  <c:v>11/28/2008</c:v>
                </c:pt>
                <c:pt idx="91">
                  <c:v>10/31/2008</c:v>
                </c:pt>
                <c:pt idx="92">
                  <c:v>09/30/2008</c:v>
                </c:pt>
                <c:pt idx="93">
                  <c:v>08/29/2008</c:v>
                </c:pt>
                <c:pt idx="94">
                  <c:v>07/31/2008</c:v>
                </c:pt>
                <c:pt idx="95">
                  <c:v>06/30/2008</c:v>
                </c:pt>
                <c:pt idx="96">
                  <c:v>05/30/2008</c:v>
                </c:pt>
                <c:pt idx="97">
                  <c:v>04/30/2008</c:v>
                </c:pt>
                <c:pt idx="98">
                  <c:v>03/31/2008</c:v>
                </c:pt>
                <c:pt idx="99">
                  <c:v>02/29/2008</c:v>
                </c:pt>
                <c:pt idx="100">
                  <c:v>01/31/2008</c:v>
                </c:pt>
                <c:pt idx="101">
                  <c:v>12/31/2007</c:v>
                </c:pt>
                <c:pt idx="102">
                  <c:v>11/30/2007</c:v>
                </c:pt>
                <c:pt idx="103">
                  <c:v>10/31/2007</c:v>
                </c:pt>
                <c:pt idx="104">
                  <c:v>09/28/2007</c:v>
                </c:pt>
                <c:pt idx="105">
                  <c:v>08/31/2007</c:v>
                </c:pt>
                <c:pt idx="106">
                  <c:v>07/31/2007</c:v>
                </c:pt>
                <c:pt idx="107">
                  <c:v>06/29/2007</c:v>
                </c:pt>
                <c:pt idx="108">
                  <c:v>05/31/2007</c:v>
                </c:pt>
                <c:pt idx="109">
                  <c:v>04/30/2007</c:v>
                </c:pt>
                <c:pt idx="110">
                  <c:v>03/30/2007</c:v>
                </c:pt>
                <c:pt idx="111">
                  <c:v>02/28/2007</c:v>
                </c:pt>
                <c:pt idx="112">
                  <c:v>01/31/2007</c:v>
                </c:pt>
                <c:pt idx="113">
                  <c:v>12/29/2006</c:v>
                </c:pt>
                <c:pt idx="114">
                  <c:v>11/30/2006</c:v>
                </c:pt>
                <c:pt idx="115">
                  <c:v>10/31/2006</c:v>
                </c:pt>
                <c:pt idx="116">
                  <c:v>09/29/2006</c:v>
                </c:pt>
                <c:pt idx="117">
                  <c:v>08/31/2006</c:v>
                </c:pt>
                <c:pt idx="118">
                  <c:v>07/31/2006</c:v>
                </c:pt>
                <c:pt idx="119">
                  <c:v>06/30/2006</c:v>
                </c:pt>
                <c:pt idx="120">
                  <c:v>05/31/2006</c:v>
                </c:pt>
                <c:pt idx="121">
                  <c:v>04/28/2006</c:v>
                </c:pt>
                <c:pt idx="122">
                  <c:v>03/31/2006</c:v>
                </c:pt>
                <c:pt idx="123">
                  <c:v>02/28/2006</c:v>
                </c:pt>
                <c:pt idx="124">
                  <c:v>01/31/2006</c:v>
                </c:pt>
                <c:pt idx="125">
                  <c:v>12/30/2005</c:v>
                </c:pt>
                <c:pt idx="126">
                  <c:v>11/30/2005</c:v>
                </c:pt>
                <c:pt idx="127">
                  <c:v>10/31/2005</c:v>
                </c:pt>
                <c:pt idx="128">
                  <c:v>09/30/2005</c:v>
                </c:pt>
                <c:pt idx="129">
                  <c:v>08/31/2005</c:v>
                </c:pt>
                <c:pt idx="130">
                  <c:v>07/29/2005</c:v>
                </c:pt>
                <c:pt idx="131">
                  <c:v>06/30/2005</c:v>
                </c:pt>
                <c:pt idx="132">
                  <c:v>05/31/2005</c:v>
                </c:pt>
                <c:pt idx="133">
                  <c:v>04/29/2005</c:v>
                </c:pt>
                <c:pt idx="134">
                  <c:v>03/31/2005</c:v>
                </c:pt>
                <c:pt idx="135">
                  <c:v>02/28/2005</c:v>
                </c:pt>
              </c:strCache>
            </c:strRef>
          </c:cat>
          <c:val>
            <c:numRef>
              <c:f>Lambda!$C$8:$C$143</c:f>
              <c:numCache>
                <c:formatCode>_(* #,##0.00_);_(* \(#,##0.00\);_(* "-"??_);_(@_)</c:formatCode>
                <c:ptCount val="136"/>
                <c:pt idx="0">
                  <c:v>13498.15</c:v>
                </c:pt>
                <c:pt idx="1">
                  <c:v>13702.47</c:v>
                </c:pt>
                <c:pt idx="2">
                  <c:v>12057.93</c:v>
                </c:pt>
                <c:pt idx="3">
                  <c:v>10742.19</c:v>
                </c:pt>
                <c:pt idx="4">
                  <c:v>9391.84</c:v>
                </c:pt>
                <c:pt idx="5">
                  <c:v>9848.59</c:v>
                </c:pt>
                <c:pt idx="6">
                  <c:v>10226.18</c:v>
                </c:pt>
                <c:pt idx="7">
                  <c:v>10545.61</c:v>
                </c:pt>
                <c:pt idx="8">
                  <c:v>10030.57</c:v>
                </c:pt>
                <c:pt idx="9">
                  <c:v>10340.49</c:v>
                </c:pt>
                <c:pt idx="10">
                  <c:v>11987.88</c:v>
                </c:pt>
                <c:pt idx="11">
                  <c:v>13113.17</c:v>
                </c:pt>
                <c:pt idx="12">
                  <c:v>13180.61</c:v>
                </c:pt>
                <c:pt idx="13">
                  <c:v>13366.86</c:v>
                </c:pt>
                <c:pt idx="14">
                  <c:v>12461.81</c:v>
                </c:pt>
                <c:pt idx="15">
                  <c:v>13397.42</c:v>
                </c:pt>
                <c:pt idx="16">
                  <c:v>13669.78</c:v>
                </c:pt>
                <c:pt idx="17">
                  <c:v>14794.32</c:v>
                </c:pt>
                <c:pt idx="18">
                  <c:v>15106.46</c:v>
                </c:pt>
                <c:pt idx="19">
                  <c:v>15673.23</c:v>
                </c:pt>
                <c:pt idx="20">
                  <c:v>16226.61</c:v>
                </c:pt>
                <c:pt idx="21">
                  <c:v>17010.82</c:v>
                </c:pt>
                <c:pt idx="22">
                  <c:v>16866.07</c:v>
                </c:pt>
                <c:pt idx="23">
                  <c:v>16662.28</c:v>
                </c:pt>
                <c:pt idx="24">
                  <c:v>15753.25</c:v>
                </c:pt>
                <c:pt idx="25">
                  <c:v>15528.38</c:v>
                </c:pt>
                <c:pt idx="26">
                  <c:v>14298.92</c:v>
                </c:pt>
                <c:pt idx="27">
                  <c:v>15441.26</c:v>
                </c:pt>
                <c:pt idx="28">
                  <c:v>15452.05</c:v>
                </c:pt>
                <c:pt idx="29">
                  <c:v>15753.65</c:v>
                </c:pt>
                <c:pt idx="30">
                  <c:v>15200.4</c:v>
                </c:pt>
                <c:pt idx="31">
                  <c:v>16322.01</c:v>
                </c:pt>
                <c:pt idx="32">
                  <c:v>15919.71</c:v>
                </c:pt>
                <c:pt idx="33">
                  <c:v>16652.22</c:v>
                </c:pt>
                <c:pt idx="34">
                  <c:v>15118.46</c:v>
                </c:pt>
                <c:pt idx="35">
                  <c:v>15549.55</c:v>
                </c:pt>
                <c:pt idx="36">
                  <c:v>16049.65</c:v>
                </c:pt>
                <c:pt idx="37">
                  <c:v>17352.919999999998</c:v>
                </c:pt>
                <c:pt idx="38">
                  <c:v>19858.95</c:v>
                </c:pt>
                <c:pt idx="39">
                  <c:v>20611.68</c:v>
                </c:pt>
                <c:pt idx="40">
                  <c:v>21435.29</c:v>
                </c:pt>
                <c:pt idx="41">
                  <c:v>20629.349999999999</c:v>
                </c:pt>
                <c:pt idx="42">
                  <c:v>20044.62</c:v>
                </c:pt>
                <c:pt idx="43">
                  <c:v>20789.41</c:v>
                </c:pt>
                <c:pt idx="44">
                  <c:v>21674.79</c:v>
                </c:pt>
                <c:pt idx="45">
                  <c:v>20311.66</c:v>
                </c:pt>
                <c:pt idx="46">
                  <c:v>19627.5</c:v>
                </c:pt>
                <c:pt idx="47">
                  <c:v>20207.16</c:v>
                </c:pt>
                <c:pt idx="48">
                  <c:v>20997.56</c:v>
                </c:pt>
                <c:pt idx="49">
                  <c:v>22677.93</c:v>
                </c:pt>
                <c:pt idx="50">
                  <c:v>23612.02</c:v>
                </c:pt>
                <c:pt idx="51">
                  <c:v>22728.75</c:v>
                </c:pt>
                <c:pt idx="52">
                  <c:v>21948.07</c:v>
                </c:pt>
                <c:pt idx="53">
                  <c:v>19473.310000000001</c:v>
                </c:pt>
                <c:pt idx="54">
                  <c:v>19911.82</c:v>
                </c:pt>
                <c:pt idx="55">
                  <c:v>19629.63</c:v>
                </c:pt>
                <c:pt idx="56">
                  <c:v>18329.099999999999</c:v>
                </c:pt>
                <c:pt idx="57">
                  <c:v>20697.11</c:v>
                </c:pt>
                <c:pt idx="58">
                  <c:v>21963.1</c:v>
                </c:pt>
                <c:pt idx="59">
                  <c:v>18878.78</c:v>
                </c:pt>
                <c:pt idx="60">
                  <c:v>21566.07</c:v>
                </c:pt>
                <c:pt idx="61">
                  <c:v>19636.22</c:v>
                </c:pt>
                <c:pt idx="62">
                  <c:v>21957.49</c:v>
                </c:pt>
                <c:pt idx="63">
                  <c:v>22842.959999999999</c:v>
                </c:pt>
                <c:pt idx="64">
                  <c:v>22887.41</c:v>
                </c:pt>
                <c:pt idx="65">
                  <c:v>23374.57</c:v>
                </c:pt>
                <c:pt idx="66">
                  <c:v>20854.5</c:v>
                </c:pt>
                <c:pt idx="67">
                  <c:v>19220.93</c:v>
                </c:pt>
                <c:pt idx="68">
                  <c:v>17867.36</c:v>
                </c:pt>
                <c:pt idx="69">
                  <c:v>15153.33</c:v>
                </c:pt>
                <c:pt idx="70">
                  <c:v>14275.38</c:v>
                </c:pt>
                <c:pt idx="71">
                  <c:v>13985.01</c:v>
                </c:pt>
                <c:pt idx="72">
                  <c:v>14487.31</c:v>
                </c:pt>
                <c:pt idx="73">
                  <c:v>15842.26</c:v>
                </c:pt>
                <c:pt idx="74">
                  <c:v>15129</c:v>
                </c:pt>
                <c:pt idx="75">
                  <c:v>14002.32</c:v>
                </c:pt>
                <c:pt idx="76">
                  <c:v>14440.05</c:v>
                </c:pt>
                <c:pt idx="77">
                  <c:v>14167.2</c:v>
                </c:pt>
                <c:pt idx="78">
                  <c:v>14129</c:v>
                </c:pt>
                <c:pt idx="79">
                  <c:v>14213.54</c:v>
                </c:pt>
                <c:pt idx="80">
                  <c:v>15144.2</c:v>
                </c:pt>
                <c:pt idx="81">
                  <c:v>13955.38</c:v>
                </c:pt>
                <c:pt idx="82">
                  <c:v>14092.02</c:v>
                </c:pt>
                <c:pt idx="83">
                  <c:v>13059.7</c:v>
                </c:pt>
                <c:pt idx="84">
                  <c:v>13392.27</c:v>
                </c:pt>
                <c:pt idx="85">
                  <c:v>9979.19</c:v>
                </c:pt>
                <c:pt idx="86">
                  <c:v>9237.65</c:v>
                </c:pt>
                <c:pt idx="87">
                  <c:v>6671.72</c:v>
                </c:pt>
                <c:pt idx="88">
                  <c:v>6905.39</c:v>
                </c:pt>
                <c:pt idx="89">
                  <c:v>7048.67</c:v>
                </c:pt>
                <c:pt idx="90">
                  <c:v>7405.5</c:v>
                </c:pt>
                <c:pt idx="91">
                  <c:v>7055.04</c:v>
                </c:pt>
                <c:pt idx="92">
                  <c:v>11248.42</c:v>
                </c:pt>
                <c:pt idx="93">
                  <c:v>13287.42</c:v>
                </c:pt>
                <c:pt idx="94">
                  <c:v>13765.45</c:v>
                </c:pt>
                <c:pt idx="95">
                  <c:v>16293.97</c:v>
                </c:pt>
                <c:pt idx="96">
                  <c:v>17130.79</c:v>
                </c:pt>
                <c:pt idx="97">
                  <c:v>17429.939999999999</c:v>
                </c:pt>
                <c:pt idx="98">
                  <c:v>17387.47</c:v>
                </c:pt>
                <c:pt idx="99">
                  <c:v>17766.939999999999</c:v>
                </c:pt>
                <c:pt idx="100">
                  <c:v>15009.98</c:v>
                </c:pt>
                <c:pt idx="101">
                  <c:v>17524.79</c:v>
                </c:pt>
                <c:pt idx="102">
                  <c:v>18255.97</c:v>
                </c:pt>
                <c:pt idx="103">
                  <c:v>21696.27</c:v>
                </c:pt>
                <c:pt idx="104">
                  <c:v>21823.439999999999</c:v>
                </c:pt>
                <c:pt idx="105">
                  <c:v>20846.259999999998</c:v>
                </c:pt>
                <c:pt idx="106">
                  <c:v>23418.17</c:v>
                </c:pt>
                <c:pt idx="107">
                  <c:v>22365.9</c:v>
                </c:pt>
                <c:pt idx="108">
                  <c:v>20129.5</c:v>
                </c:pt>
                <c:pt idx="109">
                  <c:v>20674.78</c:v>
                </c:pt>
                <c:pt idx="110">
                  <c:v>17152.82</c:v>
                </c:pt>
                <c:pt idx="111">
                  <c:v>15150.74</c:v>
                </c:pt>
                <c:pt idx="112">
                  <c:v>13633.78</c:v>
                </c:pt>
                <c:pt idx="113">
                  <c:v>12884.2</c:v>
                </c:pt>
                <c:pt idx="114">
                  <c:v>11482.41</c:v>
                </c:pt>
                <c:pt idx="115">
                  <c:v>10694.54</c:v>
                </c:pt>
                <c:pt idx="116">
                  <c:v>10390.34</c:v>
                </c:pt>
                <c:pt idx="117">
                  <c:v>10011.950000000001</c:v>
                </c:pt>
                <c:pt idx="118">
                  <c:v>8973.69</c:v>
                </c:pt>
                <c:pt idx="119">
                  <c:v>8155.8</c:v>
                </c:pt>
                <c:pt idx="120">
                  <c:v>7211.67</c:v>
                </c:pt>
                <c:pt idx="121">
                  <c:v>7142.92</c:v>
                </c:pt>
                <c:pt idx="122">
                  <c:v>5920.5</c:v>
                </c:pt>
                <c:pt idx="123">
                  <c:v>6080.68</c:v>
                </c:pt>
                <c:pt idx="124">
                  <c:v>5633.51</c:v>
                </c:pt>
                <c:pt idx="125">
                  <c:v>4802.25</c:v>
                </c:pt>
                <c:pt idx="126">
                  <c:v>5034.3</c:v>
                </c:pt>
                <c:pt idx="127">
                  <c:v>4764.3500000000004</c:v>
                </c:pt>
                <c:pt idx="128">
                  <c:v>5070.83</c:v>
                </c:pt>
                <c:pt idx="129">
                  <c:v>4611.76</c:v>
                </c:pt>
                <c:pt idx="130">
                  <c:v>4210.83</c:v>
                </c:pt>
                <c:pt idx="131">
                  <c:v>4038.07</c:v>
                </c:pt>
                <c:pt idx="132">
                  <c:v>3925.34</c:v>
                </c:pt>
                <c:pt idx="133">
                  <c:v>3986.29</c:v>
                </c:pt>
                <c:pt idx="134">
                  <c:v>4159.8500000000004</c:v>
                </c:pt>
                <c:pt idx="135">
                  <c:v>4078.26</c:v>
                </c:pt>
              </c:numCache>
            </c:numRef>
          </c:val>
          <c:smooth val="0"/>
        </c:ser>
        <c:dLbls>
          <c:showLegendKey val="0"/>
          <c:showVal val="0"/>
          <c:showCatName val="0"/>
          <c:showSerName val="0"/>
          <c:showPercent val="0"/>
          <c:showBubbleSize val="0"/>
        </c:dLbls>
        <c:smooth val="0"/>
        <c:axId val="197473544"/>
        <c:axId val="134037232"/>
      </c:lineChart>
      <c:catAx>
        <c:axId val="197473544"/>
        <c:scaling>
          <c:orientation val="minMax"/>
        </c:scaling>
        <c:delete val="0"/>
        <c:axPos val="b"/>
        <c:numFmt formatCode="General" sourceLinked="0"/>
        <c:majorTickMark val="out"/>
        <c:minorTickMark val="none"/>
        <c:tickLblPos val="nextTo"/>
        <c:crossAx val="134037232"/>
        <c:crosses val="autoZero"/>
        <c:auto val="1"/>
        <c:lblAlgn val="ctr"/>
        <c:lblOffset val="100"/>
        <c:noMultiLvlLbl val="0"/>
      </c:catAx>
      <c:valAx>
        <c:axId val="134037232"/>
        <c:scaling>
          <c:orientation val="minMax"/>
        </c:scaling>
        <c:delete val="0"/>
        <c:axPos val="l"/>
        <c:majorGridlines/>
        <c:numFmt formatCode="_(* #,##0.00_);_(* \(#,##0.00\);_(* &quot;-&quot;??_);_(@_)" sourceLinked="1"/>
        <c:majorTickMark val="out"/>
        <c:minorTickMark val="none"/>
        <c:tickLblPos val="nextTo"/>
        <c:crossAx val="19747354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strRef>
              <c:f>Lambda!$F$8:$F$79</c:f>
              <c:strCache>
                <c:ptCount val="72"/>
                <c:pt idx="0">
                  <c:v>05/23/2016</c:v>
                </c:pt>
                <c:pt idx="1">
                  <c:v>04/30/2016</c:v>
                </c:pt>
                <c:pt idx="2">
                  <c:v>03/31/2016</c:v>
                </c:pt>
                <c:pt idx="3">
                  <c:v>02/29/2016</c:v>
                </c:pt>
                <c:pt idx="4">
                  <c:v>01/31/2016</c:v>
                </c:pt>
                <c:pt idx="5">
                  <c:v>12/31/2015</c:v>
                </c:pt>
                <c:pt idx="6">
                  <c:v>11/30/2015</c:v>
                </c:pt>
                <c:pt idx="7">
                  <c:v>10/31/2015</c:v>
                </c:pt>
                <c:pt idx="8">
                  <c:v>09/30/2015</c:v>
                </c:pt>
                <c:pt idx="9">
                  <c:v>08/31/2015</c:v>
                </c:pt>
                <c:pt idx="10">
                  <c:v>07/31/2015</c:v>
                </c:pt>
                <c:pt idx="11">
                  <c:v>06/30/2015</c:v>
                </c:pt>
                <c:pt idx="12">
                  <c:v>05/31/2015</c:v>
                </c:pt>
                <c:pt idx="13">
                  <c:v>04/30/2015</c:v>
                </c:pt>
                <c:pt idx="14">
                  <c:v>03/31/2015</c:v>
                </c:pt>
                <c:pt idx="15">
                  <c:v>02/28/2015</c:v>
                </c:pt>
                <c:pt idx="16">
                  <c:v>01/31/2015</c:v>
                </c:pt>
                <c:pt idx="17">
                  <c:v>12/31/2014</c:v>
                </c:pt>
                <c:pt idx="18">
                  <c:v>11/30/2014</c:v>
                </c:pt>
                <c:pt idx="19">
                  <c:v>10/31/2014</c:v>
                </c:pt>
                <c:pt idx="20">
                  <c:v>09/30/2014</c:v>
                </c:pt>
                <c:pt idx="21">
                  <c:v>08/31/2014</c:v>
                </c:pt>
                <c:pt idx="22">
                  <c:v>07/31/2014</c:v>
                </c:pt>
                <c:pt idx="23">
                  <c:v>06/30/2014</c:v>
                </c:pt>
                <c:pt idx="24">
                  <c:v>05/31/2014</c:v>
                </c:pt>
                <c:pt idx="25">
                  <c:v>04/30/2014</c:v>
                </c:pt>
                <c:pt idx="26">
                  <c:v>03/31/2014</c:v>
                </c:pt>
                <c:pt idx="27">
                  <c:v>02/28/2014</c:v>
                </c:pt>
                <c:pt idx="28">
                  <c:v>01/31/2014</c:v>
                </c:pt>
                <c:pt idx="29">
                  <c:v>12/31/2013</c:v>
                </c:pt>
                <c:pt idx="30">
                  <c:v>11/30/2013</c:v>
                </c:pt>
                <c:pt idx="31">
                  <c:v>10/31/2013</c:v>
                </c:pt>
                <c:pt idx="32">
                  <c:v>09/30/2013</c:v>
                </c:pt>
                <c:pt idx="33">
                  <c:v>08/31/2013</c:v>
                </c:pt>
                <c:pt idx="34">
                  <c:v>07/31/2013</c:v>
                </c:pt>
                <c:pt idx="35">
                  <c:v>06/30/2013</c:v>
                </c:pt>
                <c:pt idx="36">
                  <c:v>05/31/2013</c:v>
                </c:pt>
                <c:pt idx="37">
                  <c:v>04/30/2013</c:v>
                </c:pt>
                <c:pt idx="38">
                  <c:v>03/31/2013</c:v>
                </c:pt>
                <c:pt idx="39">
                  <c:v>02/28/2013</c:v>
                </c:pt>
                <c:pt idx="40">
                  <c:v>01/31/2013</c:v>
                </c:pt>
                <c:pt idx="41">
                  <c:v>12/31/2012</c:v>
                </c:pt>
                <c:pt idx="42">
                  <c:v>11/30/2012</c:v>
                </c:pt>
                <c:pt idx="43">
                  <c:v>10/31/2012</c:v>
                </c:pt>
                <c:pt idx="44">
                  <c:v>09/30/2012</c:v>
                </c:pt>
                <c:pt idx="45">
                  <c:v>08/31/2012</c:v>
                </c:pt>
                <c:pt idx="46">
                  <c:v>07/31/2012</c:v>
                </c:pt>
                <c:pt idx="47">
                  <c:v>06/30/2012</c:v>
                </c:pt>
                <c:pt idx="48">
                  <c:v>05/31/2012</c:v>
                </c:pt>
                <c:pt idx="49">
                  <c:v>04/30/2012</c:v>
                </c:pt>
                <c:pt idx="50">
                  <c:v>03/31/2012</c:v>
                </c:pt>
                <c:pt idx="51">
                  <c:v>02/29/2012</c:v>
                </c:pt>
                <c:pt idx="52">
                  <c:v>01/31/2012</c:v>
                </c:pt>
                <c:pt idx="53">
                  <c:v>12/31/2011</c:v>
                </c:pt>
                <c:pt idx="54">
                  <c:v>11/30/2011</c:v>
                </c:pt>
                <c:pt idx="55">
                  <c:v>10/31/2011</c:v>
                </c:pt>
                <c:pt idx="56">
                  <c:v>09/30/2011</c:v>
                </c:pt>
                <c:pt idx="57">
                  <c:v>08/31/2011</c:v>
                </c:pt>
                <c:pt idx="58">
                  <c:v>07/31/2011</c:v>
                </c:pt>
                <c:pt idx="59">
                  <c:v>06/30/2011</c:v>
                </c:pt>
                <c:pt idx="60">
                  <c:v>05/31/2011</c:v>
                </c:pt>
                <c:pt idx="61">
                  <c:v>04/30/2011</c:v>
                </c:pt>
                <c:pt idx="62">
                  <c:v>03/31/2011</c:v>
                </c:pt>
                <c:pt idx="63">
                  <c:v>02/28/2011</c:v>
                </c:pt>
                <c:pt idx="64">
                  <c:v>01/31/2011</c:v>
                </c:pt>
                <c:pt idx="65">
                  <c:v>12/31/2010</c:v>
                </c:pt>
                <c:pt idx="66">
                  <c:v>11/30/2010</c:v>
                </c:pt>
                <c:pt idx="67">
                  <c:v>10/31/2010</c:v>
                </c:pt>
                <c:pt idx="68">
                  <c:v>09/30/2010</c:v>
                </c:pt>
                <c:pt idx="69">
                  <c:v>08/31/2010</c:v>
                </c:pt>
                <c:pt idx="70">
                  <c:v>07/31/2010</c:v>
                </c:pt>
                <c:pt idx="71">
                  <c:v>06/30/2010</c:v>
                </c:pt>
              </c:strCache>
            </c:strRef>
          </c:cat>
          <c:val>
            <c:numRef>
              <c:f>Lambda!$G$8:$G$79</c:f>
              <c:numCache>
                <c:formatCode>_(* #,##0.00_);_(* \(#,##0.00\);_(* "-"??_);_(@_)</c:formatCode>
                <c:ptCount val="72"/>
                <c:pt idx="0">
                  <c:v>103.381</c:v>
                </c:pt>
                <c:pt idx="1">
                  <c:v>102.422</c:v>
                </c:pt>
                <c:pt idx="2">
                  <c:v>96.444000000000003</c:v>
                </c:pt>
                <c:pt idx="3">
                  <c:v>91.108999999999995</c:v>
                </c:pt>
                <c:pt idx="4">
                  <c:v>88.326999999999998</c:v>
                </c:pt>
                <c:pt idx="5">
                  <c:v>90.649000000000001</c:v>
                </c:pt>
                <c:pt idx="6">
                  <c:v>94.772999999999996</c:v>
                </c:pt>
                <c:pt idx="7">
                  <c:v>93.956000000000003</c:v>
                </c:pt>
                <c:pt idx="8">
                  <c:v>89.421999999999997</c:v>
                </c:pt>
                <c:pt idx="9">
                  <c:v>104.77200000000001</c:v>
                </c:pt>
                <c:pt idx="10">
                  <c:v>97.015000000000001</c:v>
                </c:pt>
                <c:pt idx="11">
                  <c:v>96.902000000000001</c:v>
                </c:pt>
                <c:pt idx="12">
                  <c:v>99.260999999999996</c:v>
                </c:pt>
                <c:pt idx="13">
                  <c:v>101.499</c:v>
                </c:pt>
                <c:pt idx="14">
                  <c:v>103.23399999999999</c:v>
                </c:pt>
                <c:pt idx="15">
                  <c:v>108.422</c:v>
                </c:pt>
                <c:pt idx="16">
                  <c:v>111.96599999999999</c:v>
                </c:pt>
                <c:pt idx="17">
                  <c:v>104.197</c:v>
                </c:pt>
                <c:pt idx="18">
                  <c:v>106.485</c:v>
                </c:pt>
                <c:pt idx="19">
                  <c:v>105.283</c:v>
                </c:pt>
                <c:pt idx="20">
                  <c:v>103.078</c:v>
                </c:pt>
                <c:pt idx="21">
                  <c:v>107.02200000000001</c:v>
                </c:pt>
                <c:pt idx="22">
                  <c:v>105.675</c:v>
                </c:pt>
                <c:pt idx="23">
                  <c:v>104.952</c:v>
                </c:pt>
                <c:pt idx="24">
                  <c:v>102.76600000000001</c:v>
                </c:pt>
                <c:pt idx="25">
                  <c:v>100.783</c:v>
                </c:pt>
                <c:pt idx="26">
                  <c:v>99.266000000000005</c:v>
                </c:pt>
                <c:pt idx="27">
                  <c:v>96.215000000000003</c:v>
                </c:pt>
                <c:pt idx="28">
                  <c:v>92.891999999999996</c:v>
                </c:pt>
                <c:pt idx="29">
                  <c:v>99.266999999999996</c:v>
                </c:pt>
                <c:pt idx="30">
                  <c:v>102.129</c:v>
                </c:pt>
                <c:pt idx="31">
                  <c:v>107.26300000000001</c:v>
                </c:pt>
                <c:pt idx="32">
                  <c:v>104.411</c:v>
                </c:pt>
                <c:pt idx="33">
                  <c:v>98.543000000000006</c:v>
                </c:pt>
                <c:pt idx="34">
                  <c:v>107.489</c:v>
                </c:pt>
                <c:pt idx="35">
                  <c:v>103.517</c:v>
                </c:pt>
                <c:pt idx="36">
                  <c:v>114.163</c:v>
                </c:pt>
                <c:pt idx="37">
                  <c:v>127.66200000000001</c:v>
                </c:pt>
                <c:pt idx="38">
                  <c:v>126.152</c:v>
                </c:pt>
                <c:pt idx="39">
                  <c:v>127.114</c:v>
                </c:pt>
                <c:pt idx="40">
                  <c:v>128.67099999999999</c:v>
                </c:pt>
                <c:pt idx="41">
                  <c:v>128.208</c:v>
                </c:pt>
                <c:pt idx="42">
                  <c:v>126.083</c:v>
                </c:pt>
                <c:pt idx="43">
                  <c:v>122.413</c:v>
                </c:pt>
                <c:pt idx="44">
                  <c:v>121.039</c:v>
                </c:pt>
                <c:pt idx="45">
                  <c:v>121.617</c:v>
                </c:pt>
                <c:pt idx="46">
                  <c:v>120.40900000000001</c:v>
                </c:pt>
                <c:pt idx="47">
                  <c:v>116.095</c:v>
                </c:pt>
                <c:pt idx="48">
                  <c:v>109.69499999999999</c:v>
                </c:pt>
                <c:pt idx="49">
                  <c:v>111.831</c:v>
                </c:pt>
                <c:pt idx="50">
                  <c:v>107.404</c:v>
                </c:pt>
                <c:pt idx="51">
                  <c:v>108.21</c:v>
                </c:pt>
                <c:pt idx="52">
                  <c:v>104.113</c:v>
                </c:pt>
                <c:pt idx="53">
                  <c:v>104.42</c:v>
                </c:pt>
                <c:pt idx="54">
                  <c:v>106.071</c:v>
                </c:pt>
                <c:pt idx="55">
                  <c:v>106.071</c:v>
                </c:pt>
                <c:pt idx="56">
                  <c:v>100.74299999999999</c:v>
                </c:pt>
                <c:pt idx="57">
                  <c:v>106.997</c:v>
                </c:pt>
                <c:pt idx="58">
                  <c:v>100.206</c:v>
                </c:pt>
                <c:pt idx="59">
                  <c:v>95.588999999999999</c:v>
                </c:pt>
                <c:pt idx="60">
                  <c:v>95.037000000000006</c:v>
                </c:pt>
                <c:pt idx="61">
                  <c:v>90.828999999999994</c:v>
                </c:pt>
                <c:pt idx="62">
                  <c:v>95.367999999999995</c:v>
                </c:pt>
                <c:pt idx="63">
                  <c:v>99.587000000000003</c:v>
                </c:pt>
                <c:pt idx="64">
                  <c:v>102.48699999999999</c:v>
                </c:pt>
                <c:pt idx="65">
                  <c:v>102.479</c:v>
                </c:pt>
                <c:pt idx="66">
                  <c:v>101.857</c:v>
                </c:pt>
                <c:pt idx="67">
                  <c:v>108.027</c:v>
                </c:pt>
                <c:pt idx="68">
                  <c:v>107.498</c:v>
                </c:pt>
                <c:pt idx="69">
                  <c:v>108.452</c:v>
                </c:pt>
                <c:pt idx="70">
                  <c:v>100.16200000000001</c:v>
                </c:pt>
                <c:pt idx="71">
                  <c:v>102.10899999999999</c:v>
                </c:pt>
              </c:numCache>
            </c:numRef>
          </c:val>
          <c:smooth val="0"/>
        </c:ser>
        <c:dLbls>
          <c:showLegendKey val="0"/>
          <c:showVal val="0"/>
          <c:showCatName val="0"/>
          <c:showSerName val="0"/>
          <c:showPercent val="0"/>
          <c:showBubbleSize val="0"/>
        </c:dLbls>
        <c:smooth val="0"/>
        <c:axId val="134038016"/>
        <c:axId val="134038408"/>
      </c:lineChart>
      <c:catAx>
        <c:axId val="134038016"/>
        <c:scaling>
          <c:orientation val="minMax"/>
        </c:scaling>
        <c:delete val="0"/>
        <c:axPos val="b"/>
        <c:numFmt formatCode="General" sourceLinked="0"/>
        <c:majorTickMark val="out"/>
        <c:minorTickMark val="none"/>
        <c:tickLblPos val="nextTo"/>
        <c:crossAx val="134038408"/>
        <c:crosses val="autoZero"/>
        <c:auto val="1"/>
        <c:lblAlgn val="ctr"/>
        <c:lblOffset val="100"/>
        <c:noMultiLvlLbl val="0"/>
      </c:catAx>
      <c:valAx>
        <c:axId val="134038408"/>
        <c:scaling>
          <c:orientation val="minMax"/>
        </c:scaling>
        <c:delete val="0"/>
        <c:axPos val="l"/>
        <c:majorGridlines/>
        <c:numFmt formatCode="_(* #,##0.00_);_(* \(#,##0.00\);_(* &quot;-&quot;??_);_(@_)" sourceLinked="1"/>
        <c:majorTickMark val="out"/>
        <c:minorTickMark val="none"/>
        <c:tickLblPos val="nextTo"/>
        <c:crossAx val="1340380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tx>
            <c:strRef>
              <c:f>PabloFernandez!$B$25</c:f>
              <c:strCache>
                <c:ptCount val="1"/>
                <c:pt idx="0">
                  <c:v>13 Valor de mercado de la empresa. (11)+(12)</c:v>
                </c:pt>
              </c:strCache>
            </c:strRef>
          </c:tx>
          <c:spPr>
            <a:ln w="22225" cap="rnd">
              <a:solidFill>
                <a:schemeClr val="accent1"/>
              </a:solidFill>
              <a:round/>
            </a:ln>
            <a:effectLst/>
          </c:spPr>
          <c:marker>
            <c:symbol val="none"/>
          </c:marker>
          <c:cat>
            <c:numRef>
              <c:f>PabloFernandez!$C$11:$H$11</c:f>
              <c:numCache>
                <c:formatCode>0.0%</c:formatCode>
                <c:ptCount val="6"/>
                <c:pt idx="0">
                  <c:v>0.44160348919248282</c:v>
                </c:pt>
                <c:pt idx="1">
                  <c:v>0.62769946921486108</c:v>
                </c:pt>
                <c:pt idx="2">
                  <c:v>0.62536921053779093</c:v>
                </c:pt>
                <c:pt idx="3">
                  <c:v>0.72215908002936069</c:v>
                </c:pt>
                <c:pt idx="4">
                  <c:v>0.73158130355192397</c:v>
                </c:pt>
                <c:pt idx="5">
                  <c:v>0.75211357497521147</c:v>
                </c:pt>
              </c:numCache>
            </c:numRef>
          </c:cat>
          <c:val>
            <c:numRef>
              <c:f>PabloFernandez!$C$25:$H$25</c:f>
              <c:numCache>
                <c:formatCode>[$$-540A]#,##0_ ;\-[$$-540A]#,##0\ </c:formatCode>
                <c:ptCount val="6"/>
                <c:pt idx="0">
                  <c:v>633328.32097701356</c:v>
                </c:pt>
                <c:pt idx="1">
                  <c:v>909416.53963934467</c:v>
                </c:pt>
                <c:pt idx="2">
                  <c:v>1967633.1401000884</c:v>
                </c:pt>
                <c:pt idx="3">
                  <c:v>1342706.296670275</c:v>
                </c:pt>
                <c:pt idx="4">
                  <c:v>1250225.5506966382</c:v>
                </c:pt>
                <c:pt idx="5">
                  <c:v>1510574.3032125649</c:v>
                </c:pt>
              </c:numCache>
            </c:numRef>
          </c:val>
          <c:smooth val="0"/>
        </c:ser>
        <c:dLbls>
          <c:showLegendKey val="0"/>
          <c:showVal val="0"/>
          <c:showCatName val="0"/>
          <c:showSerName val="0"/>
          <c:showPercent val="0"/>
          <c:showBubbleSize val="0"/>
        </c:dLbls>
        <c:marker val="1"/>
        <c:smooth val="0"/>
        <c:axId val="221751760"/>
        <c:axId val="221751368"/>
      </c:lineChart>
      <c:lineChart>
        <c:grouping val="stacked"/>
        <c:varyColors val="0"/>
        <c:ser>
          <c:idx val="2"/>
          <c:order val="1"/>
          <c:tx>
            <c:strRef>
              <c:f>PabloFernandez!$B$49</c:f>
              <c:strCache>
                <c:ptCount val="1"/>
                <c:pt idx="0">
                  <c:v>25 Coste promedio del capital (WACC) </c:v>
                </c:pt>
              </c:strCache>
            </c:strRef>
          </c:tx>
          <c:spPr>
            <a:ln w="22225" cap="rnd">
              <a:solidFill>
                <a:schemeClr val="accent3"/>
              </a:solidFill>
              <a:round/>
            </a:ln>
            <a:effectLst/>
          </c:spPr>
          <c:marker>
            <c:symbol val="none"/>
          </c:marker>
          <c:cat>
            <c:numRef>
              <c:f>PabloFernandez!$C$11:$H$11</c:f>
              <c:numCache>
                <c:formatCode>0.0%</c:formatCode>
                <c:ptCount val="6"/>
                <c:pt idx="0">
                  <c:v>0.44160348919248282</c:v>
                </c:pt>
                <c:pt idx="1">
                  <c:v>0.62769946921486108</c:v>
                </c:pt>
                <c:pt idx="2">
                  <c:v>0.62536921053779093</c:v>
                </c:pt>
                <c:pt idx="3">
                  <c:v>0.72215908002936069</c:v>
                </c:pt>
                <c:pt idx="4">
                  <c:v>0.73158130355192397</c:v>
                </c:pt>
                <c:pt idx="5">
                  <c:v>0.75211357497521147</c:v>
                </c:pt>
              </c:numCache>
            </c:numRef>
          </c:cat>
          <c:val>
            <c:numRef>
              <c:f>PabloFernandez!$C$49:$H$49</c:f>
              <c:numCache>
                <c:formatCode>0.00%</c:formatCode>
                <c:ptCount val="6"/>
                <c:pt idx="0">
                  <c:v>7.3784049547724453E-2</c:v>
                </c:pt>
                <c:pt idx="1">
                  <c:v>7.3369171459593929E-2</c:v>
                </c:pt>
                <c:pt idx="2">
                  <c:v>6.7749775672485524E-2</c:v>
                </c:pt>
                <c:pt idx="3">
                  <c:v>8.7350965345742632E-2</c:v>
                </c:pt>
                <c:pt idx="4">
                  <c:v>7.5572989376343006E-2</c:v>
                </c:pt>
                <c:pt idx="5">
                  <c:v>8.9791792880162188E-2</c:v>
                </c:pt>
              </c:numCache>
            </c:numRef>
          </c:val>
          <c:smooth val="0"/>
        </c:ser>
        <c:dLbls>
          <c:showLegendKey val="0"/>
          <c:showVal val="0"/>
          <c:showCatName val="0"/>
          <c:showSerName val="0"/>
          <c:showPercent val="0"/>
          <c:showBubbleSize val="0"/>
        </c:dLbls>
        <c:marker val="1"/>
        <c:smooth val="0"/>
        <c:axId val="221752544"/>
        <c:axId val="221752152"/>
      </c:lineChart>
      <c:valAx>
        <c:axId val="221751368"/>
        <c:scaling>
          <c:orientation val="minMax"/>
        </c:scaling>
        <c:delete val="0"/>
        <c:axPos val="r"/>
        <c:majorGridlines>
          <c:spPr>
            <a:ln w="9525" cap="flat" cmpd="sng" algn="ctr">
              <a:solidFill>
                <a:schemeClr val="dk1">
                  <a:lumMod val="15000"/>
                  <a:lumOff val="85000"/>
                </a:schemeClr>
              </a:solidFill>
              <a:round/>
            </a:ln>
            <a:effectLst/>
          </c:spPr>
        </c:majorGridlines>
        <c:numFmt formatCode="[$$-540A]#,##0_ ;\-[$$-540A]#,##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crossAx val="221751760"/>
        <c:crosses val="max"/>
        <c:crossBetween val="between"/>
        <c:dispUnits>
          <c:builtInUnit val="millions"/>
          <c:dispUnitsLbl/>
        </c:dispUnits>
      </c:valAx>
      <c:catAx>
        <c:axId val="221751760"/>
        <c:scaling>
          <c:orientation val="minMax"/>
        </c:scaling>
        <c:delete val="0"/>
        <c:axPos val="b"/>
        <c:numFmt formatCode="0.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PE"/>
          </a:p>
        </c:txPr>
        <c:crossAx val="221751368"/>
        <c:crosses val="autoZero"/>
        <c:auto val="1"/>
        <c:lblAlgn val="ctr"/>
        <c:lblOffset val="100"/>
        <c:noMultiLvlLbl val="0"/>
      </c:catAx>
      <c:valAx>
        <c:axId val="221752152"/>
        <c:scaling>
          <c:orientation val="minMax"/>
        </c:scaling>
        <c:delete val="0"/>
        <c:axPos val="l"/>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PE"/>
                  <a:t>WACC</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crossAx val="221752544"/>
        <c:crosses val="autoZero"/>
        <c:crossBetween val="between"/>
      </c:valAx>
      <c:catAx>
        <c:axId val="221752544"/>
        <c:scaling>
          <c:orientation val="minMax"/>
        </c:scaling>
        <c:delete val="1"/>
        <c:axPos val="b"/>
        <c:numFmt formatCode="0.0%" sourceLinked="1"/>
        <c:majorTickMark val="out"/>
        <c:minorTickMark val="none"/>
        <c:tickLblPos val="nextTo"/>
        <c:crossAx val="221752152"/>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legend>
      <c:legendPos val="b"/>
      <c:overlay val="0"/>
    </c:legend>
    <c:plotVisOnly val="1"/>
    <c:dispBlanksAs val="gap"/>
    <c:showDLblsOverMax val="0"/>
  </c:chart>
  <c:spPr>
    <a:solidFill>
      <a:schemeClr val="lt1"/>
    </a:solidFill>
    <a:ln w="9525" cap="flat" cmpd="sng" algn="ctr">
      <a:solidFill>
        <a:schemeClr val="dk1"/>
      </a:solidFill>
      <a:round/>
    </a:ln>
    <a:effectLst/>
  </c:spPr>
  <c:txPr>
    <a:bodyPr/>
    <a:lstStyle/>
    <a:p>
      <a:pPr>
        <a:defRPr/>
      </a:pPr>
      <a:endParaRPr lang="es-P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0" normalizeH="0" baseline="0">
                <a:solidFill>
                  <a:sysClr val="windowText" lastClr="000000"/>
                </a:solidFill>
                <a:latin typeface="+mj-lt"/>
                <a:ea typeface="+mj-ea"/>
                <a:cs typeface="+mj-cs"/>
              </a:defRPr>
            </a:pPr>
            <a:r>
              <a:rPr lang="es-PE" sz="1400" b="1">
                <a:solidFill>
                  <a:sysClr val="windowText" lastClr="000000"/>
                </a:solidFill>
              </a:rPr>
              <a:t>Precio por acción y WACC en función del endeudamiento</a:t>
            </a:r>
          </a:p>
        </c:rich>
      </c:tx>
      <c:layout>
        <c:manualLayout>
          <c:xMode val="edge"/>
          <c:yMode val="edge"/>
          <c:x val="0.12994499674574717"/>
          <c:y val="3.6149491568600846E-2"/>
        </c:manualLayout>
      </c:layout>
      <c:overlay val="0"/>
      <c:spPr>
        <a:noFill/>
        <a:ln>
          <a:noFill/>
        </a:ln>
        <a:effectLst/>
      </c:spPr>
    </c:title>
    <c:autoTitleDeleted val="0"/>
    <c:plotArea>
      <c:layout>
        <c:manualLayout>
          <c:layoutTarget val="inner"/>
          <c:xMode val="edge"/>
          <c:yMode val="edge"/>
          <c:x val="0.13134351723052445"/>
          <c:y val="0.18992834169699721"/>
          <c:w val="0.7184473172620035"/>
          <c:h val="0.64617832217464743"/>
        </c:manualLayout>
      </c:layout>
      <c:lineChart>
        <c:grouping val="stacked"/>
        <c:varyColors val="0"/>
        <c:ser>
          <c:idx val="0"/>
          <c:order val="0"/>
          <c:tx>
            <c:strRef>
              <c:f>PabloFernandez!$B$36</c:f>
              <c:strCache>
                <c:ptCount val="1"/>
                <c:pt idx="0">
                  <c:v>20 Cotización de la acción, P (12)/(19) </c:v>
                </c:pt>
              </c:strCache>
            </c:strRef>
          </c:tx>
          <c:spPr>
            <a:ln w="22225" cap="rnd">
              <a:solidFill>
                <a:schemeClr val="accent1"/>
              </a:solidFill>
              <a:round/>
            </a:ln>
            <a:effectLst/>
          </c:spPr>
          <c:marker>
            <c:symbol val="none"/>
          </c:marker>
          <c:cat>
            <c:numRef>
              <c:f>PabloFernandez!$C$11:$H$11</c:f>
              <c:numCache>
                <c:formatCode>0.0%</c:formatCode>
                <c:ptCount val="6"/>
                <c:pt idx="0">
                  <c:v>0.44160348919248282</c:v>
                </c:pt>
                <c:pt idx="1">
                  <c:v>0.62769946921486108</c:v>
                </c:pt>
                <c:pt idx="2">
                  <c:v>0.62536921053779093</c:v>
                </c:pt>
                <c:pt idx="3">
                  <c:v>0.72215908002936069</c:v>
                </c:pt>
                <c:pt idx="4">
                  <c:v>0.73158130355192397</c:v>
                </c:pt>
                <c:pt idx="5">
                  <c:v>0.75211357497521147</c:v>
                </c:pt>
              </c:numCache>
            </c:numRef>
          </c:cat>
          <c:val>
            <c:numRef>
              <c:f>PabloFernandez!$C$36:$H$36</c:f>
              <c:numCache>
                <c:formatCode>[$$-540A]#,##0.00_ ;\-[$$-540A]#,##0.00\ </c:formatCode>
                <c:ptCount val="6"/>
                <c:pt idx="0">
                  <c:v>0.57265222069228849</c:v>
                </c:pt>
                <c:pt idx="1">
                  <c:v>0.69403125106803409</c:v>
                </c:pt>
                <c:pt idx="2">
                  <c:v>1.3757856851213897</c:v>
                </c:pt>
                <c:pt idx="3">
                  <c:v>1.4121362457395383</c:v>
                </c:pt>
                <c:pt idx="4">
                  <c:v>1.3449666286995301</c:v>
                </c:pt>
                <c:pt idx="5">
                  <c:v>1.1793109149007612</c:v>
                </c:pt>
              </c:numCache>
            </c:numRef>
          </c:val>
          <c:smooth val="0"/>
        </c:ser>
        <c:dLbls>
          <c:showLegendKey val="0"/>
          <c:showVal val="0"/>
          <c:showCatName val="0"/>
          <c:showSerName val="0"/>
          <c:showPercent val="0"/>
          <c:showBubbleSize val="0"/>
        </c:dLbls>
        <c:marker val="1"/>
        <c:smooth val="0"/>
        <c:axId val="221753720"/>
        <c:axId val="221753328"/>
      </c:lineChart>
      <c:lineChart>
        <c:grouping val="stacked"/>
        <c:varyColors val="0"/>
        <c:ser>
          <c:idx val="2"/>
          <c:order val="1"/>
          <c:tx>
            <c:strRef>
              <c:f>PabloFernandez!$B$49</c:f>
              <c:strCache>
                <c:ptCount val="1"/>
                <c:pt idx="0">
                  <c:v>25 Coste promedio del capital (WACC) </c:v>
                </c:pt>
              </c:strCache>
            </c:strRef>
          </c:tx>
          <c:spPr>
            <a:ln w="22225" cap="rnd">
              <a:solidFill>
                <a:schemeClr val="accent3"/>
              </a:solidFill>
              <a:round/>
            </a:ln>
            <a:effectLst/>
          </c:spPr>
          <c:marker>
            <c:symbol val="none"/>
          </c:marker>
          <c:cat>
            <c:numRef>
              <c:f>PabloFernandez!$C$11:$H$11</c:f>
              <c:numCache>
                <c:formatCode>0.0%</c:formatCode>
                <c:ptCount val="6"/>
                <c:pt idx="0">
                  <c:v>0.44160348919248282</c:v>
                </c:pt>
                <c:pt idx="1">
                  <c:v>0.62769946921486108</c:v>
                </c:pt>
                <c:pt idx="2">
                  <c:v>0.62536921053779093</c:v>
                </c:pt>
                <c:pt idx="3">
                  <c:v>0.72215908002936069</c:v>
                </c:pt>
                <c:pt idx="4">
                  <c:v>0.73158130355192397</c:v>
                </c:pt>
                <c:pt idx="5">
                  <c:v>0.75211357497521147</c:v>
                </c:pt>
              </c:numCache>
            </c:numRef>
          </c:cat>
          <c:val>
            <c:numRef>
              <c:f>PabloFernandez!$C$49:$H$49</c:f>
              <c:numCache>
                <c:formatCode>0.00%</c:formatCode>
                <c:ptCount val="6"/>
                <c:pt idx="0">
                  <c:v>7.3784049547724453E-2</c:v>
                </c:pt>
                <c:pt idx="1">
                  <c:v>7.3369171459593929E-2</c:v>
                </c:pt>
                <c:pt idx="2">
                  <c:v>6.7749775672485524E-2</c:v>
                </c:pt>
                <c:pt idx="3">
                  <c:v>8.7350965345742632E-2</c:v>
                </c:pt>
                <c:pt idx="4">
                  <c:v>7.5572989376343006E-2</c:v>
                </c:pt>
                <c:pt idx="5">
                  <c:v>8.9791792880162188E-2</c:v>
                </c:pt>
              </c:numCache>
            </c:numRef>
          </c:val>
          <c:smooth val="0"/>
        </c:ser>
        <c:dLbls>
          <c:showLegendKey val="0"/>
          <c:showVal val="0"/>
          <c:showCatName val="0"/>
          <c:showSerName val="0"/>
          <c:showPercent val="0"/>
          <c:showBubbleSize val="0"/>
        </c:dLbls>
        <c:marker val="1"/>
        <c:smooth val="0"/>
        <c:axId val="221754504"/>
        <c:axId val="221754112"/>
      </c:lineChart>
      <c:valAx>
        <c:axId val="221753328"/>
        <c:scaling>
          <c:orientation val="minMax"/>
        </c:scaling>
        <c:delete val="0"/>
        <c:axPos val="r"/>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PE"/>
                  <a:t>PRECIO DE LA ACCION</a:t>
                </a:r>
              </a:p>
            </c:rich>
          </c:tx>
          <c:overlay val="0"/>
          <c:spPr>
            <a:noFill/>
            <a:ln>
              <a:noFill/>
            </a:ln>
            <a:effectLst/>
          </c:spPr>
        </c:title>
        <c:numFmt formatCode="[$$-540A]#,##0.00_ ;\-[$$-540A]#,##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crossAx val="221753720"/>
        <c:crosses val="max"/>
        <c:crossBetween val="between"/>
      </c:valAx>
      <c:catAx>
        <c:axId val="221753720"/>
        <c:scaling>
          <c:orientation val="minMax"/>
        </c:scaling>
        <c:delete val="0"/>
        <c:axPos val="b"/>
        <c:majorGridlines>
          <c:spPr>
            <a:ln w="9525" cap="flat" cmpd="sng" algn="ctr">
              <a:solidFill>
                <a:schemeClr val="dk1">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PE"/>
                  <a:t>Endeudamiento</a:t>
                </a:r>
              </a:p>
            </c:rich>
          </c:tx>
          <c:overlay val="0"/>
          <c:spPr>
            <a:noFill/>
            <a:ln>
              <a:noFill/>
            </a:ln>
            <a:effectLst/>
          </c:spPr>
        </c:title>
        <c:numFmt formatCode="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PE"/>
          </a:p>
        </c:txPr>
        <c:crossAx val="221753328"/>
        <c:crosses val="autoZero"/>
        <c:auto val="1"/>
        <c:lblAlgn val="ctr"/>
        <c:lblOffset val="100"/>
        <c:noMultiLvlLbl val="0"/>
      </c:catAx>
      <c:valAx>
        <c:axId val="221754112"/>
        <c:scaling>
          <c:orientation val="minMax"/>
        </c:scaling>
        <c:delete val="0"/>
        <c:axPos val="l"/>
        <c:title>
          <c:tx>
            <c:rich>
              <a:bodyPr rot="-540000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r>
                  <a:rPr lang="es-PE"/>
                  <a:t>WACC</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crossAx val="221754504"/>
        <c:crosses val="autoZero"/>
        <c:crossBetween val="between"/>
      </c:valAx>
      <c:catAx>
        <c:axId val="221754504"/>
        <c:scaling>
          <c:orientation val="minMax"/>
        </c:scaling>
        <c:delete val="1"/>
        <c:axPos val="b"/>
        <c:numFmt formatCode="0.0%" sourceLinked="1"/>
        <c:majorTickMark val="out"/>
        <c:minorTickMark val="none"/>
        <c:tickLblPos val="nextTo"/>
        <c:crossAx val="221754112"/>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legend>
      <c:legendPos val="r"/>
      <c:layout>
        <c:manualLayout>
          <c:xMode val="edge"/>
          <c:yMode val="edge"/>
          <c:x val="0.49184149184149184"/>
          <c:y val="0.50885077044813243"/>
          <c:w val="0.34032634032634035"/>
          <c:h val="0.30528344857317485"/>
        </c:manualLayout>
      </c:layout>
      <c:overlay val="0"/>
    </c:legend>
    <c:plotVisOnly val="1"/>
    <c:dispBlanksAs val="gap"/>
    <c:showDLblsOverMax val="0"/>
  </c:chart>
  <c:spPr>
    <a:solidFill>
      <a:schemeClr val="lt1"/>
    </a:solidFill>
    <a:ln w="9525" cap="flat" cmpd="sng" algn="ctr">
      <a:solidFill>
        <a:schemeClr val="dk1"/>
      </a:solidFill>
      <a:round/>
    </a:ln>
    <a:effectLst/>
  </c:spPr>
  <c:txPr>
    <a:bodyPr/>
    <a:lstStyle/>
    <a:p>
      <a:pPr>
        <a:defRPr/>
      </a:pPr>
      <a:endParaRPr lang="es-P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s-PE" sz="1600" b="1" i="0" baseline="0">
                <a:effectLst/>
              </a:rPr>
              <a:t>Gráfico 18: Precio acción de inversión</a:t>
            </a:r>
            <a:endParaRPr lang="es-PE" sz="1600">
              <a:effectLst/>
            </a:endParaRPr>
          </a:p>
        </c:rich>
      </c:tx>
      <c:layout>
        <c:manualLayout>
          <c:xMode val="edge"/>
          <c:yMode val="edge"/>
          <c:x val="0.23107635851576039"/>
          <c:y val="4.888747678140961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1445777898452349"/>
          <c:y val="0.13408338654062907"/>
          <c:w val="0.86443942438229715"/>
          <c:h val="0.68419230991311175"/>
        </c:manualLayout>
      </c:layout>
      <c:bar3DChart>
        <c:barDir val="col"/>
        <c:grouping val="clustered"/>
        <c:varyColors val="0"/>
        <c:ser>
          <c:idx val="0"/>
          <c:order val="0"/>
          <c:tx>
            <c:strRef>
              <c:f>Multiplos!$E$61</c:f>
              <c:strCache>
                <c:ptCount val="1"/>
                <c:pt idx="0">
                  <c:v>Precio S/.</c:v>
                </c:pt>
              </c:strCache>
            </c:strRef>
          </c:tx>
          <c:invertIfNegative val="0"/>
          <c:dLbls>
            <c:spPr>
              <a:noFill/>
              <a:ln>
                <a:noFill/>
              </a:ln>
              <a:effectLst/>
            </c:spPr>
            <c:txPr>
              <a:bodyPr/>
              <a:lstStyle/>
              <a:p>
                <a:pPr>
                  <a:defRPr sz="1400" b="1"/>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Multiplos!$D$62:$D$66</c:f>
              <c:strCache>
                <c:ptCount val="5"/>
                <c:pt idx="0">
                  <c:v>Valor Contable</c:v>
                </c:pt>
                <c:pt idx="1">
                  <c:v>Valor FCD</c:v>
                </c:pt>
                <c:pt idx="2">
                  <c:v>Valor por múltiplos</c:v>
                </c:pt>
                <c:pt idx="3">
                  <c:v>Adquisición Arca Continental</c:v>
                </c:pt>
                <c:pt idx="4">
                  <c:v>Cotización BVL</c:v>
                </c:pt>
              </c:strCache>
            </c:strRef>
          </c:cat>
          <c:val>
            <c:numRef>
              <c:f>Multiplos!$E$62:$E$66</c:f>
              <c:numCache>
                <c:formatCode>"S/."#,##0.00;\-"S/."#,##0.00</c:formatCode>
                <c:ptCount val="5"/>
                <c:pt idx="0">
                  <c:v>1</c:v>
                </c:pt>
                <c:pt idx="1">
                  <c:v>3.0880443616943758</c:v>
                </c:pt>
                <c:pt idx="2">
                  <c:v>2.4590515547716154</c:v>
                </c:pt>
                <c:pt idx="3">
                  <c:v>3.0348999395763205</c:v>
                </c:pt>
                <c:pt idx="4">
                  <c:v>2.75</c:v>
                </c:pt>
              </c:numCache>
            </c:numRef>
          </c:val>
        </c:ser>
        <c:dLbls>
          <c:showLegendKey val="0"/>
          <c:showVal val="0"/>
          <c:showCatName val="0"/>
          <c:showSerName val="0"/>
          <c:showPercent val="0"/>
          <c:showBubbleSize val="0"/>
        </c:dLbls>
        <c:gapWidth val="150"/>
        <c:shape val="box"/>
        <c:axId val="221755288"/>
        <c:axId val="221755680"/>
        <c:axId val="0"/>
      </c:bar3DChart>
      <c:catAx>
        <c:axId val="221755288"/>
        <c:scaling>
          <c:orientation val="minMax"/>
        </c:scaling>
        <c:delete val="0"/>
        <c:axPos val="b"/>
        <c:numFmt formatCode="General" sourceLinked="0"/>
        <c:majorTickMark val="out"/>
        <c:minorTickMark val="none"/>
        <c:tickLblPos val="nextTo"/>
        <c:txPr>
          <a:bodyPr/>
          <a:lstStyle/>
          <a:p>
            <a:pPr>
              <a:defRPr sz="1050"/>
            </a:pPr>
            <a:endParaRPr lang="es-PE"/>
          </a:p>
        </c:txPr>
        <c:crossAx val="221755680"/>
        <c:crosses val="autoZero"/>
        <c:auto val="1"/>
        <c:lblAlgn val="ctr"/>
        <c:lblOffset val="100"/>
        <c:noMultiLvlLbl val="0"/>
      </c:catAx>
      <c:valAx>
        <c:axId val="221755680"/>
        <c:scaling>
          <c:orientation val="minMax"/>
        </c:scaling>
        <c:delete val="0"/>
        <c:axPos val="l"/>
        <c:majorGridlines>
          <c:spPr>
            <a:ln>
              <a:solidFill>
                <a:schemeClr val="bg1"/>
              </a:solidFill>
            </a:ln>
          </c:spPr>
        </c:majorGridlines>
        <c:numFmt formatCode="&quot;S/.&quot;#,##0.00;\-&quot;S/.&quot;#,##0.00" sourceLinked="1"/>
        <c:majorTickMark val="out"/>
        <c:minorTickMark val="none"/>
        <c:tickLblPos val="nextTo"/>
        <c:txPr>
          <a:bodyPr/>
          <a:lstStyle/>
          <a:p>
            <a:pPr>
              <a:defRPr sz="1050"/>
            </a:pPr>
            <a:endParaRPr lang="es-PE"/>
          </a:p>
        </c:txPr>
        <c:crossAx val="221755288"/>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chart" Target="../charts/chart11.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5</xdr:row>
      <xdr:rowOff>19049</xdr:rowOff>
    </xdr:from>
    <xdr:to>
      <xdr:col>7</xdr:col>
      <xdr:colOff>523875</xdr:colOff>
      <xdr:row>15</xdr:row>
      <xdr:rowOff>180974</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971549"/>
          <a:ext cx="4695825" cy="2295525"/>
        </a:xfrm>
        <a:prstGeom prst="rect">
          <a:avLst/>
        </a:prstGeom>
        <a:noFill/>
        <a:ln>
          <a:noFill/>
        </a:ln>
      </xdr:spPr>
    </xdr:pic>
    <xdr:clientData/>
  </xdr:twoCellAnchor>
  <xdr:twoCellAnchor editAs="oneCell">
    <xdr:from>
      <xdr:col>8</xdr:col>
      <xdr:colOff>85726</xdr:colOff>
      <xdr:row>4</xdr:row>
      <xdr:rowOff>152400</xdr:rowOff>
    </xdr:from>
    <xdr:to>
      <xdr:col>8</xdr:col>
      <xdr:colOff>723900</xdr:colOff>
      <xdr:row>7</xdr:row>
      <xdr:rowOff>171450</xdr:rowOff>
    </xdr:to>
    <xdr:pic>
      <xdr:nvPicPr>
        <xdr:cNvPr id="3" name="Imagen 2" descr="http://mbaenperu.com/wp-content/uploads/2013/05/universidad-del-pacifico.jpg"/>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7939"/>
        <a:stretch/>
      </xdr:blipFill>
      <xdr:spPr bwMode="auto">
        <a:xfrm>
          <a:off x="5848351" y="914400"/>
          <a:ext cx="638174" cy="7143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266700</xdr:colOff>
      <xdr:row>7</xdr:row>
      <xdr:rowOff>71437</xdr:rowOff>
    </xdr:from>
    <xdr:to>
      <xdr:col>20</xdr:col>
      <xdr:colOff>266700</xdr:colOff>
      <xdr:row>23</xdr:row>
      <xdr:rowOff>138112</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200024</xdr:colOff>
      <xdr:row>6</xdr:row>
      <xdr:rowOff>185736</xdr:rowOff>
    </xdr:from>
    <xdr:to>
      <xdr:col>27</xdr:col>
      <xdr:colOff>666750</xdr:colOff>
      <xdr:row>23</xdr:row>
      <xdr:rowOff>38100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80962</xdr:colOff>
      <xdr:row>0</xdr:row>
      <xdr:rowOff>161926</xdr:rowOff>
    </xdr:from>
    <xdr:to>
      <xdr:col>24</xdr:col>
      <xdr:colOff>828675</xdr:colOff>
      <xdr:row>13</xdr:row>
      <xdr:rowOff>9525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505385</xdr:colOff>
      <xdr:row>22</xdr:row>
      <xdr:rowOff>64994</xdr:rowOff>
    </xdr:from>
    <xdr:to>
      <xdr:col>32</xdr:col>
      <xdr:colOff>267260</xdr:colOff>
      <xdr:row>39</xdr:row>
      <xdr:rowOff>22411</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47625</xdr:colOff>
      <xdr:row>6</xdr:row>
      <xdr:rowOff>28575</xdr:rowOff>
    </xdr:from>
    <xdr:to>
      <xdr:col>8</xdr:col>
      <xdr:colOff>714375</xdr:colOff>
      <xdr:row>7</xdr:row>
      <xdr:rowOff>171450</xdr:rowOff>
    </xdr:to>
    <xdr:grpSp>
      <xdr:nvGrpSpPr>
        <xdr:cNvPr id="2" name="Grupo 1"/>
        <xdr:cNvGrpSpPr/>
      </xdr:nvGrpSpPr>
      <xdr:grpSpPr>
        <a:xfrm>
          <a:off x="3770151" y="1185182"/>
          <a:ext cx="2182974" cy="327544"/>
          <a:chOff x="3771900" y="1171575"/>
          <a:chExt cx="2190750" cy="333375"/>
        </a:xfrm>
      </xdr:grpSpPr>
      <xdr:sp macro="" textlink="">
        <xdr:nvSpPr>
          <xdr:cNvPr id="3" name="Corchetes 2"/>
          <xdr:cNvSpPr/>
        </xdr:nvSpPr>
        <xdr:spPr>
          <a:xfrm>
            <a:off x="3771900" y="1171575"/>
            <a:ext cx="676275" cy="323850"/>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PE" sz="1100"/>
          </a:p>
        </xdr:txBody>
      </xdr:sp>
      <xdr:sp macro="" textlink="">
        <xdr:nvSpPr>
          <xdr:cNvPr id="4" name="Corchetes 3"/>
          <xdr:cNvSpPr/>
        </xdr:nvSpPr>
        <xdr:spPr>
          <a:xfrm>
            <a:off x="5286375" y="1171575"/>
            <a:ext cx="676275" cy="323850"/>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PE" sz="1100"/>
          </a:p>
        </xdr:txBody>
      </xdr:sp>
      <xdr:sp macro="" textlink="">
        <xdr:nvSpPr>
          <xdr:cNvPr id="5" name="Corchetes 4"/>
          <xdr:cNvSpPr/>
        </xdr:nvSpPr>
        <xdr:spPr>
          <a:xfrm>
            <a:off x="4514850" y="1181100"/>
            <a:ext cx="676275" cy="323850"/>
          </a:xfrm>
          <a:prstGeom prst="bracketPair">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PE" sz="1100"/>
          </a:p>
        </xdr:txBody>
      </xdr:sp>
    </xdr:grpSp>
    <xdr:clientData/>
  </xdr:twoCellAnchor>
  <xdr:twoCellAnchor>
    <xdr:from>
      <xdr:col>13</xdr:col>
      <xdr:colOff>85531</xdr:colOff>
      <xdr:row>29</xdr:row>
      <xdr:rowOff>3693</xdr:rowOff>
    </xdr:from>
    <xdr:to>
      <xdr:col>17</xdr:col>
      <xdr:colOff>274087</xdr:colOff>
      <xdr:row>43</xdr:row>
      <xdr:rowOff>161535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496659</xdr:colOff>
      <xdr:row>116</xdr:row>
      <xdr:rowOff>104776</xdr:rowOff>
    </xdr:from>
    <xdr:to>
      <xdr:col>9</xdr:col>
      <xdr:colOff>781050</xdr:colOff>
      <xdr:row>131</xdr:row>
      <xdr:rowOff>1</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117020</xdr:colOff>
      <xdr:row>116</xdr:row>
      <xdr:rowOff>112949</xdr:rowOff>
    </xdr:from>
    <xdr:to>
      <xdr:col>4</xdr:col>
      <xdr:colOff>371474</xdr:colOff>
      <xdr:row>131</xdr:row>
      <xdr:rowOff>28576</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100542</xdr:colOff>
      <xdr:row>131</xdr:row>
      <xdr:rowOff>133350</xdr:rowOff>
    </xdr:from>
    <xdr:to>
      <xdr:col>4</xdr:col>
      <xdr:colOff>352425</xdr:colOff>
      <xdr:row>146</xdr:row>
      <xdr:rowOff>48977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504825</xdr:colOff>
      <xdr:row>67</xdr:row>
      <xdr:rowOff>85724</xdr:rowOff>
    </xdr:from>
    <xdr:to>
      <xdr:col>12</xdr:col>
      <xdr:colOff>514351</xdr:colOff>
      <xdr:row>83</xdr:row>
      <xdr:rowOff>142875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295275</xdr:colOff>
      <xdr:row>26</xdr:row>
      <xdr:rowOff>123825</xdr:rowOff>
    </xdr:from>
    <xdr:to>
      <xdr:col>15</xdr:col>
      <xdr:colOff>666750</xdr:colOff>
      <xdr:row>41</xdr:row>
      <xdr:rowOff>152400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295275</xdr:colOff>
      <xdr:row>10</xdr:row>
      <xdr:rowOff>57150</xdr:rowOff>
    </xdr:from>
    <xdr:to>
      <xdr:col>15</xdr:col>
      <xdr:colOff>666750</xdr:colOff>
      <xdr:row>25</xdr:row>
      <xdr:rowOff>85725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2667001</xdr:colOff>
      <xdr:row>22</xdr:row>
      <xdr:rowOff>66674</xdr:rowOff>
    </xdr:from>
    <xdr:to>
      <xdr:col>1</xdr:col>
      <xdr:colOff>2790827</xdr:colOff>
      <xdr:row>26</xdr:row>
      <xdr:rowOff>93449</xdr:rowOff>
    </xdr:to>
    <xdr:sp macro="" textlink="">
      <xdr:nvSpPr>
        <xdr:cNvPr id="2" name="Abrir corchete 1"/>
        <xdr:cNvSpPr/>
      </xdr:nvSpPr>
      <xdr:spPr>
        <a:xfrm flipH="1">
          <a:off x="3162301" y="4057649"/>
          <a:ext cx="123826" cy="684000"/>
        </a:xfrm>
        <a:prstGeom prst="leftBracket">
          <a:avLst/>
        </a:prstGeom>
        <a:ln w="22225">
          <a:headEnd type="triangl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PE" sz="1100">
            <a:solidFill>
              <a:sysClr val="windowText" lastClr="000000"/>
            </a:solidFill>
          </a:endParaRPr>
        </a:p>
      </xdr:txBody>
    </xdr:sp>
    <xdr:clientData/>
  </xdr:twoCellAnchor>
  <xdr:twoCellAnchor>
    <xdr:from>
      <xdr:col>1</xdr:col>
      <xdr:colOff>2667000</xdr:colOff>
      <xdr:row>34</xdr:row>
      <xdr:rowOff>123825</xdr:rowOff>
    </xdr:from>
    <xdr:to>
      <xdr:col>1</xdr:col>
      <xdr:colOff>2771776</xdr:colOff>
      <xdr:row>37</xdr:row>
      <xdr:rowOff>171450</xdr:rowOff>
    </xdr:to>
    <xdr:sp macro="" textlink="">
      <xdr:nvSpPr>
        <xdr:cNvPr id="3" name="Abrir corchete 2"/>
        <xdr:cNvSpPr/>
      </xdr:nvSpPr>
      <xdr:spPr>
        <a:xfrm flipH="1">
          <a:off x="3162300" y="6096000"/>
          <a:ext cx="104776" cy="523875"/>
        </a:xfrm>
        <a:prstGeom prst="leftBracket">
          <a:avLst/>
        </a:prstGeom>
        <a:ln w="22225">
          <a:headEnd type="triangl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PE" sz="1100">
            <a:solidFill>
              <a:sysClr val="windowText" lastClr="000000"/>
            </a:solidFill>
          </a:endParaRPr>
        </a:p>
      </xdr:txBody>
    </xdr:sp>
    <xdr:clientData/>
  </xdr:twoCellAnchor>
  <xdr:twoCellAnchor>
    <xdr:from>
      <xdr:col>1</xdr:col>
      <xdr:colOff>2952750</xdr:colOff>
      <xdr:row>24</xdr:row>
      <xdr:rowOff>76199</xdr:rowOff>
    </xdr:from>
    <xdr:to>
      <xdr:col>2</xdr:col>
      <xdr:colOff>76200</xdr:colOff>
      <xdr:row>50</xdr:row>
      <xdr:rowOff>133349</xdr:rowOff>
    </xdr:to>
    <xdr:sp macro="" textlink="">
      <xdr:nvSpPr>
        <xdr:cNvPr id="4" name="Abrir corchete 4"/>
        <xdr:cNvSpPr/>
      </xdr:nvSpPr>
      <xdr:spPr>
        <a:xfrm flipH="1">
          <a:off x="3448050" y="4448174"/>
          <a:ext cx="142875" cy="4400550"/>
        </a:xfrm>
        <a:prstGeom prst="leftBracket">
          <a:avLst/>
        </a:prstGeom>
        <a:ln w="22225">
          <a:headEnd type="triangl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PE" sz="1100">
            <a:solidFill>
              <a:sysClr val="windowText" lastClr="000000"/>
            </a:solidFill>
          </a:endParaRPr>
        </a:p>
      </xdr:txBody>
    </xdr:sp>
    <xdr:clientData/>
  </xdr:twoCellAnchor>
  <xdr:twoCellAnchor>
    <xdr:from>
      <xdr:col>9</xdr:col>
      <xdr:colOff>9524</xdr:colOff>
      <xdr:row>10</xdr:row>
      <xdr:rowOff>14286</xdr:rowOff>
    </xdr:from>
    <xdr:to>
      <xdr:col>16</xdr:col>
      <xdr:colOff>504824</xdr:colOff>
      <xdr:row>26</xdr:row>
      <xdr:rowOff>161924</xdr:rowOff>
    </xdr:to>
    <xdr:graphicFrame macro="">
      <xdr:nvGraphicFramePr>
        <xdr:cNvPr id="5"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47626</xdr:colOff>
      <xdr:row>30</xdr:row>
      <xdr:rowOff>19050</xdr:rowOff>
    </xdr:from>
    <xdr:to>
      <xdr:col>16</xdr:col>
      <xdr:colOff>495301</xdr:colOff>
      <xdr:row>46</xdr:row>
      <xdr:rowOff>157163</xdr:rowOff>
    </xdr:to>
    <xdr:graphicFrame macro="">
      <xdr:nvGraphicFramePr>
        <xdr:cNvPr id="6"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391583</xdr:colOff>
      <xdr:row>28</xdr:row>
      <xdr:rowOff>3174</xdr:rowOff>
    </xdr:from>
    <xdr:to>
      <xdr:col>5</xdr:col>
      <xdr:colOff>444499</xdr:colOff>
      <xdr:row>30</xdr:row>
      <xdr:rowOff>52917</xdr:rowOff>
    </xdr:to>
    <xdr:sp macro="" textlink="">
      <xdr:nvSpPr>
        <xdr:cNvPr id="2" name="Flecha derecha 1"/>
        <xdr:cNvSpPr/>
      </xdr:nvSpPr>
      <xdr:spPr>
        <a:xfrm>
          <a:off x="4296833" y="5612341"/>
          <a:ext cx="963083" cy="40957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148165</xdr:colOff>
      <xdr:row>58</xdr:row>
      <xdr:rowOff>125940</xdr:rowOff>
    </xdr:from>
    <xdr:to>
      <xdr:col>10</xdr:col>
      <xdr:colOff>687917</xdr:colOff>
      <xdr:row>80</xdr:row>
      <xdr:rowOff>10583</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19438</xdr:colOff>
      <xdr:row>0</xdr:row>
      <xdr:rowOff>65120</xdr:rowOff>
    </xdr:from>
    <xdr:to>
      <xdr:col>6</xdr:col>
      <xdr:colOff>77756</xdr:colOff>
      <xdr:row>17</xdr:row>
      <xdr:rowOff>127129</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142" y="65120"/>
          <a:ext cx="5219313" cy="2870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402771</xdr:colOff>
      <xdr:row>0</xdr:row>
      <xdr:rowOff>77755</xdr:rowOff>
    </xdr:from>
    <xdr:to>
      <xdr:col>11</xdr:col>
      <xdr:colOff>614264</xdr:colOff>
      <xdr:row>18</xdr:row>
      <xdr:rowOff>74754</xdr:rowOff>
    </xdr:to>
    <xdr:pic>
      <xdr:nvPicPr>
        <xdr:cNvPr id="3" name="Imagen 2"/>
        <xdr:cNvPicPr>
          <a:picLocks noChangeAspect="1"/>
        </xdr:cNvPicPr>
      </xdr:nvPicPr>
      <xdr:blipFill rotWithShape="1">
        <a:blip xmlns:r="http://schemas.openxmlformats.org/officeDocument/2006/relationships" r:embed="rId2"/>
        <a:srcRect l="11348" t="15367" r="13385" b="6238"/>
        <a:stretch/>
      </xdr:blipFill>
      <xdr:spPr>
        <a:xfrm>
          <a:off x="5822496" y="77755"/>
          <a:ext cx="4964468" cy="2911649"/>
        </a:xfrm>
        <a:prstGeom prst="rect">
          <a:avLst/>
        </a:prstGeom>
        <a:ln>
          <a:solidFill>
            <a:sysClr val="windowText" lastClr="000000"/>
          </a:solidFill>
        </a:ln>
      </xdr:spPr>
    </xdr:pic>
    <xdr:clientData/>
  </xdr:twoCellAnchor>
  <xdr:twoCellAnchor>
    <xdr:from>
      <xdr:col>6</xdr:col>
      <xdr:colOff>441648</xdr:colOff>
      <xdr:row>7</xdr:row>
      <xdr:rowOff>123825</xdr:rowOff>
    </xdr:from>
    <xdr:to>
      <xdr:col>11</xdr:col>
      <xdr:colOff>32267</xdr:colOff>
      <xdr:row>10</xdr:row>
      <xdr:rowOff>1555</xdr:rowOff>
    </xdr:to>
    <xdr:sp macro="" textlink="">
      <xdr:nvSpPr>
        <xdr:cNvPr id="4" name="Rectángulo 3"/>
        <xdr:cNvSpPr/>
      </xdr:nvSpPr>
      <xdr:spPr>
        <a:xfrm>
          <a:off x="5861373" y="1257300"/>
          <a:ext cx="4343594" cy="36350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editAs="oneCell">
    <xdr:from>
      <xdr:col>12</xdr:col>
      <xdr:colOff>77756</xdr:colOff>
      <xdr:row>0</xdr:row>
      <xdr:rowOff>150317</xdr:rowOff>
    </xdr:from>
    <xdr:to>
      <xdr:col>18</xdr:col>
      <xdr:colOff>136072</xdr:colOff>
      <xdr:row>16</xdr:row>
      <xdr:rowOff>133544</xdr:rowOff>
    </xdr:to>
    <xdr:pic>
      <xdr:nvPicPr>
        <xdr:cNvPr id="5" name="Imagen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93431" y="150317"/>
          <a:ext cx="4468391" cy="25740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377112</xdr:colOff>
      <xdr:row>1</xdr:row>
      <xdr:rowOff>14965</xdr:rowOff>
    </xdr:from>
    <xdr:to>
      <xdr:col>24</xdr:col>
      <xdr:colOff>400439</xdr:colOff>
      <xdr:row>19</xdr:row>
      <xdr:rowOff>47625</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746449</xdr:colOff>
      <xdr:row>0</xdr:row>
      <xdr:rowOff>110606</xdr:rowOff>
    </xdr:from>
    <xdr:to>
      <xdr:col>31</xdr:col>
      <xdr:colOff>417935</xdr:colOff>
      <xdr:row>16</xdr:row>
      <xdr:rowOff>106913</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3</xdr:col>
      <xdr:colOff>514350</xdr:colOff>
      <xdr:row>34</xdr:row>
      <xdr:rowOff>66675</xdr:rowOff>
    </xdr:to>
    <xdr:pic>
      <xdr:nvPicPr>
        <xdr:cNvPr id="2" name="1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7400"/>
          <a:ext cx="4981575" cy="4591050"/>
        </a:xfrm>
        <a:prstGeom prst="rect">
          <a:avLst/>
        </a:prstGeom>
        <a:noFill/>
        <a:ln>
          <a:noFill/>
        </a:ln>
      </xdr:spPr>
    </xdr:pic>
    <xdr:clientData/>
  </xdr:twoCellAnchor>
  <xdr:twoCellAnchor>
    <xdr:from>
      <xdr:col>0</xdr:col>
      <xdr:colOff>0</xdr:colOff>
      <xdr:row>111</xdr:row>
      <xdr:rowOff>0</xdr:rowOff>
    </xdr:from>
    <xdr:to>
      <xdr:col>1</xdr:col>
      <xdr:colOff>1619250</xdr:colOff>
      <xdr:row>123</xdr:row>
      <xdr:rowOff>152400</xdr:rowOff>
    </xdr:to>
    <xdr:pic>
      <xdr:nvPicPr>
        <xdr:cNvPr id="3" name="Imagen 30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0612100"/>
          <a:ext cx="4162425"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ost%20Grado\Pacifico\22%20Tesis\Bloomberg\XID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r102754\Downloads\ctrypre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r102754\Downloads\Lindley%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ketCapH"/>
      <sheetName val="PricesH"/>
      <sheetName val="ControlsH"/>
      <sheetName val="DataH"/>
      <sheetName val="Overview"/>
      <sheetName val="Peers"/>
      <sheetName val="Indices"/>
      <sheetName val="Financials"/>
      <sheetName val="Ratings"/>
      <sheetName val="EST Brokers"/>
      <sheetName val="EST Detail"/>
      <sheetName val="VAL Graphs"/>
      <sheetName val="Owners"/>
      <sheetName val="Help"/>
    </sheetNames>
    <sheetDataSet>
      <sheetData sheetId="0"/>
      <sheetData sheetId="1"/>
      <sheetData sheetId="2"/>
      <sheetData sheetId="3">
        <row r="17">
          <cell r="A17" t="str">
            <v>Fiscal Quarter</v>
          </cell>
        </row>
        <row r="18">
          <cell r="A18" t="str">
            <v>Fiscal Semiannual</v>
          </cell>
        </row>
        <row r="19">
          <cell r="A19" t="str">
            <v>Fiscal Year</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 and FAQ"/>
      <sheetName val="Country Lookup"/>
      <sheetName val="ERPs by country"/>
      <sheetName val="Relative Equity Volatility"/>
      <sheetName val="Regional Simple Averages"/>
      <sheetName val="Regional Weighted Averages"/>
      <sheetName val="Regional breakdown"/>
      <sheetName val="Sovereign Ratings (Moody's,S&amp;P)"/>
      <sheetName val="Regional lookup table"/>
      <sheetName val="CDS Pivot table"/>
      <sheetName val="10-year CDS Spreads"/>
      <sheetName val="Equity vs Govt Bond vol- Jun15"/>
      <sheetName val="Country GDP"/>
      <sheetName val="Ratings worksheet"/>
      <sheetName val="Country Tax Rates"/>
      <sheetName val="PRS Worksheet"/>
    </sheetNames>
    <sheetDataSet>
      <sheetData sheetId="0"/>
      <sheetData sheetId="1"/>
      <sheetData sheetId="2"/>
      <sheetData sheetId="3">
        <row r="4">
          <cell r="B4">
            <v>1.3933424913630135</v>
          </cell>
        </row>
      </sheetData>
      <sheetData sheetId="4"/>
      <sheetData sheetId="5"/>
      <sheetData sheetId="6"/>
      <sheetData sheetId="7">
        <row r="1">
          <cell r="C1" t="str">
            <v>Moody's rating</v>
          </cell>
        </row>
      </sheetData>
      <sheetData sheetId="8">
        <row r="3">
          <cell r="A3" t="str">
            <v>Albania</v>
          </cell>
          <cell r="B3" t="str">
            <v>Eastern Europe &amp; Russia</v>
          </cell>
        </row>
        <row r="4">
          <cell r="A4" t="str">
            <v>Andorra</v>
          </cell>
          <cell r="B4" t="str">
            <v>Western Europe</v>
          </cell>
        </row>
        <row r="5">
          <cell r="A5" t="str">
            <v>Angola</v>
          </cell>
          <cell r="B5" t="str">
            <v>Africa</v>
          </cell>
        </row>
        <row r="6">
          <cell r="A6" t="str">
            <v>Argentina</v>
          </cell>
          <cell r="B6" t="str">
            <v>Central and South America</v>
          </cell>
        </row>
        <row r="7">
          <cell r="A7" t="str">
            <v>Armenia</v>
          </cell>
          <cell r="B7" t="str">
            <v>Eastern Europe &amp; Russia</v>
          </cell>
        </row>
        <row r="8">
          <cell r="A8" t="str">
            <v>Aruba</v>
          </cell>
          <cell r="B8" t="str">
            <v>Caribbean</v>
          </cell>
        </row>
        <row r="9">
          <cell r="A9" t="str">
            <v>Australia</v>
          </cell>
          <cell r="B9" t="str">
            <v>Australia &amp; New Zealand</v>
          </cell>
        </row>
        <row r="10">
          <cell r="A10" t="str">
            <v>Austria</v>
          </cell>
          <cell r="B10" t="str">
            <v>Western Europe</v>
          </cell>
        </row>
        <row r="11">
          <cell r="A11" t="str">
            <v>Azerbaijan</v>
          </cell>
          <cell r="B11" t="str">
            <v>Eastern Europe &amp; Russia</v>
          </cell>
        </row>
        <row r="12">
          <cell r="A12" t="str">
            <v>Bahamas</v>
          </cell>
          <cell r="B12" t="str">
            <v>Caribbean</v>
          </cell>
        </row>
        <row r="13">
          <cell r="A13" t="str">
            <v>Bahrain</v>
          </cell>
          <cell r="B13" t="str">
            <v>Middle East</v>
          </cell>
        </row>
        <row r="14">
          <cell r="A14" t="str">
            <v>Bangladesh</v>
          </cell>
          <cell r="B14" t="str">
            <v>Asia</v>
          </cell>
        </row>
        <row r="15">
          <cell r="A15" t="str">
            <v>Barbados</v>
          </cell>
          <cell r="B15" t="str">
            <v>Caribbean</v>
          </cell>
        </row>
        <row r="16">
          <cell r="A16" t="str">
            <v>Belarus</v>
          </cell>
          <cell r="B16" t="str">
            <v>Eastern Europe &amp; Russia</v>
          </cell>
        </row>
        <row r="17">
          <cell r="A17" t="str">
            <v>Belgium</v>
          </cell>
          <cell r="B17" t="str">
            <v>Western Europe</v>
          </cell>
        </row>
        <row r="18">
          <cell r="A18" t="str">
            <v>Belize</v>
          </cell>
          <cell r="B18" t="str">
            <v>Central and South America</v>
          </cell>
        </row>
        <row r="19">
          <cell r="A19" t="str">
            <v>Benin</v>
          </cell>
          <cell r="B19" t="str">
            <v>Africa</v>
          </cell>
        </row>
        <row r="20">
          <cell r="A20" t="str">
            <v>Bermuda</v>
          </cell>
          <cell r="B20" t="str">
            <v>Caribbean</v>
          </cell>
        </row>
        <row r="21">
          <cell r="A21" t="str">
            <v>Bolivia</v>
          </cell>
          <cell r="B21" t="str">
            <v>Central and South America</v>
          </cell>
        </row>
        <row r="22">
          <cell r="A22" t="str">
            <v>Bosnia and Herzegovina</v>
          </cell>
          <cell r="B22" t="str">
            <v>Eastern Europe &amp; Russia</v>
          </cell>
        </row>
        <row r="23">
          <cell r="A23" t="str">
            <v>Botswana</v>
          </cell>
          <cell r="B23" t="str">
            <v>Africa</v>
          </cell>
        </row>
        <row r="24">
          <cell r="A24" t="str">
            <v>Brazil</v>
          </cell>
          <cell r="B24" t="str">
            <v>Central and South America</v>
          </cell>
        </row>
        <row r="25">
          <cell r="A25" t="str">
            <v>Bulgaria</v>
          </cell>
          <cell r="B25" t="str">
            <v>Eastern Europe &amp; Russia</v>
          </cell>
        </row>
        <row r="26">
          <cell r="A26" t="str">
            <v>Burkina Faso</v>
          </cell>
          <cell r="B26" t="str">
            <v>Africa</v>
          </cell>
        </row>
        <row r="27">
          <cell r="A27" t="str">
            <v>Cambodia</v>
          </cell>
          <cell r="B27" t="str">
            <v>Asia</v>
          </cell>
        </row>
        <row r="28">
          <cell r="A28" t="str">
            <v>Cameroon</v>
          </cell>
          <cell r="B28" t="str">
            <v>Africa</v>
          </cell>
        </row>
        <row r="29">
          <cell r="A29" t="str">
            <v>Canada</v>
          </cell>
          <cell r="B29" t="str">
            <v>North America</v>
          </cell>
        </row>
        <row r="30">
          <cell r="A30" t="str">
            <v>Cape Verde</v>
          </cell>
          <cell r="B30" t="str">
            <v>Africa</v>
          </cell>
        </row>
        <row r="31">
          <cell r="A31" t="str">
            <v>Cayman Islands</v>
          </cell>
          <cell r="B31" t="str">
            <v>Caribbean</v>
          </cell>
        </row>
        <row r="32">
          <cell r="A32" t="str">
            <v>Chile</v>
          </cell>
          <cell r="B32" t="str">
            <v>Central and South America</v>
          </cell>
        </row>
        <row r="33">
          <cell r="A33" t="str">
            <v>China</v>
          </cell>
          <cell r="B33" t="str">
            <v>Asia</v>
          </cell>
        </row>
        <row r="34">
          <cell r="A34" t="str">
            <v>Colombia</v>
          </cell>
          <cell r="B34" t="str">
            <v>Central and South America</v>
          </cell>
        </row>
        <row r="35">
          <cell r="A35" t="str">
            <v>Congo (Democratic Republic of)</v>
          </cell>
          <cell r="B35" t="str">
            <v>Africa</v>
          </cell>
        </row>
        <row r="36">
          <cell r="A36" t="str">
            <v>Congo (Republic of)</v>
          </cell>
          <cell r="B36" t="str">
            <v>Africa</v>
          </cell>
        </row>
        <row r="37">
          <cell r="A37" t="str">
            <v>Cook Islands</v>
          </cell>
          <cell r="B37" t="str">
            <v>Australia &amp; New Zealand</v>
          </cell>
        </row>
        <row r="38">
          <cell r="A38" t="str">
            <v>Costa Rica</v>
          </cell>
          <cell r="B38" t="str">
            <v>Central and South America</v>
          </cell>
        </row>
        <row r="39">
          <cell r="A39" t="str">
            <v>Côte d'Ivoire</v>
          </cell>
          <cell r="B39" t="str">
            <v>Africa</v>
          </cell>
        </row>
        <row r="40">
          <cell r="A40" t="str">
            <v>Croatia</v>
          </cell>
          <cell r="B40" t="str">
            <v>Eastern Europe &amp; Russia</v>
          </cell>
        </row>
        <row r="41">
          <cell r="A41" t="str">
            <v>Cuba</v>
          </cell>
          <cell r="B41" t="str">
            <v>Caribbean</v>
          </cell>
        </row>
        <row r="42">
          <cell r="A42" t="str">
            <v>Curacao</v>
          </cell>
          <cell r="B42" t="str">
            <v>Caribbean</v>
          </cell>
        </row>
        <row r="43">
          <cell r="A43" t="str">
            <v>Cyprus</v>
          </cell>
          <cell r="B43" t="str">
            <v>Western Europe</v>
          </cell>
        </row>
        <row r="44">
          <cell r="A44" t="str">
            <v>Czech Republic</v>
          </cell>
          <cell r="B44" t="str">
            <v>Eastern Europe &amp; Russia</v>
          </cell>
        </row>
        <row r="45">
          <cell r="A45" t="str">
            <v>Democratic Republic of Congo</v>
          </cell>
          <cell r="B45" t="str">
            <v>Africa</v>
          </cell>
        </row>
        <row r="46">
          <cell r="A46" t="str">
            <v>Denmark</v>
          </cell>
          <cell r="B46" t="str">
            <v>Western Europe</v>
          </cell>
        </row>
        <row r="47">
          <cell r="A47" t="str">
            <v>Dominican Republic</v>
          </cell>
          <cell r="B47" t="str">
            <v>Caribbean</v>
          </cell>
        </row>
        <row r="48">
          <cell r="A48" t="str">
            <v>Ecuador</v>
          </cell>
          <cell r="B48" t="str">
            <v>Central and South America</v>
          </cell>
        </row>
        <row r="49">
          <cell r="A49" t="str">
            <v>Egypt</v>
          </cell>
          <cell r="B49" t="str">
            <v>Africa</v>
          </cell>
        </row>
        <row r="50">
          <cell r="A50" t="str">
            <v>El Salvador</v>
          </cell>
          <cell r="B50" t="str">
            <v>Central and South America</v>
          </cell>
        </row>
        <row r="51">
          <cell r="A51" t="str">
            <v>Estonia</v>
          </cell>
          <cell r="B51" t="str">
            <v>Eastern Europe &amp; Russia</v>
          </cell>
        </row>
        <row r="52">
          <cell r="A52" t="str">
            <v>Ethiopia</v>
          </cell>
          <cell r="B52" t="str">
            <v>Africa</v>
          </cell>
        </row>
        <row r="53">
          <cell r="A53" t="str">
            <v>Fiji</v>
          </cell>
          <cell r="B53" t="str">
            <v>Asia</v>
          </cell>
        </row>
        <row r="54">
          <cell r="A54" t="str">
            <v>Finland</v>
          </cell>
          <cell r="B54" t="str">
            <v>Western Europe</v>
          </cell>
        </row>
        <row r="55">
          <cell r="A55" t="str">
            <v>France</v>
          </cell>
          <cell r="B55" t="str">
            <v>Western Europe</v>
          </cell>
        </row>
        <row r="56">
          <cell r="A56" t="str">
            <v>Gabon</v>
          </cell>
          <cell r="B56" t="str">
            <v>Africa</v>
          </cell>
        </row>
        <row r="57">
          <cell r="A57" t="str">
            <v>Georgia</v>
          </cell>
          <cell r="B57" t="str">
            <v>Eastern Europe &amp; Russia</v>
          </cell>
        </row>
        <row r="58">
          <cell r="A58" t="str">
            <v>Germany</v>
          </cell>
          <cell r="B58" t="str">
            <v>Western Europe</v>
          </cell>
        </row>
        <row r="59">
          <cell r="A59" t="str">
            <v>Ghana</v>
          </cell>
          <cell r="B59" t="str">
            <v>Africa</v>
          </cell>
        </row>
        <row r="60">
          <cell r="A60" t="str">
            <v>Greece</v>
          </cell>
          <cell r="B60" t="str">
            <v>Western Europe</v>
          </cell>
        </row>
        <row r="61">
          <cell r="A61" t="str">
            <v>Guatemala</v>
          </cell>
          <cell r="B61" t="str">
            <v>Central and South America</v>
          </cell>
        </row>
        <row r="62">
          <cell r="A62" t="str">
            <v>Guernsey (States of)</v>
          </cell>
          <cell r="B62" t="str">
            <v>Western Europe</v>
          </cell>
        </row>
        <row r="63">
          <cell r="A63" t="str">
            <v>Honduras</v>
          </cell>
          <cell r="B63" t="str">
            <v>Central and South America</v>
          </cell>
        </row>
        <row r="64">
          <cell r="A64" t="str">
            <v>Hong Kong</v>
          </cell>
          <cell r="B64" t="str">
            <v>Asia</v>
          </cell>
        </row>
        <row r="65">
          <cell r="A65" t="str">
            <v>Hungary</v>
          </cell>
          <cell r="B65" t="str">
            <v>Eastern Europe &amp; Russia</v>
          </cell>
        </row>
        <row r="66">
          <cell r="A66" t="str">
            <v>Iceland</v>
          </cell>
          <cell r="B66" t="str">
            <v>Western Europe</v>
          </cell>
        </row>
        <row r="67">
          <cell r="A67" t="str">
            <v>India</v>
          </cell>
          <cell r="B67" t="str">
            <v>Asia</v>
          </cell>
        </row>
        <row r="68">
          <cell r="A68" t="str">
            <v>Indonesia</v>
          </cell>
          <cell r="B68" t="str">
            <v>Asia</v>
          </cell>
        </row>
        <row r="69">
          <cell r="A69" t="str">
            <v>Ireland</v>
          </cell>
          <cell r="B69" t="str">
            <v>Western Europe</v>
          </cell>
        </row>
        <row r="70">
          <cell r="A70" t="str">
            <v>Isle of Man</v>
          </cell>
          <cell r="B70" t="str">
            <v>Western Europe</v>
          </cell>
        </row>
        <row r="71">
          <cell r="A71" t="str">
            <v>Israel</v>
          </cell>
          <cell r="B71" t="str">
            <v>Middle East</v>
          </cell>
        </row>
        <row r="72">
          <cell r="A72" t="str">
            <v>Italy</v>
          </cell>
          <cell r="B72" t="str">
            <v>Western Europe</v>
          </cell>
        </row>
        <row r="73">
          <cell r="A73" t="str">
            <v>Jamaica</v>
          </cell>
          <cell r="B73" t="str">
            <v>Caribbean</v>
          </cell>
        </row>
        <row r="74">
          <cell r="A74" t="str">
            <v>Japan</v>
          </cell>
          <cell r="B74" t="str">
            <v>Asia</v>
          </cell>
        </row>
        <row r="75">
          <cell r="A75" t="str">
            <v>Jersey (States of)</v>
          </cell>
          <cell r="B75" t="str">
            <v>Western Europe</v>
          </cell>
        </row>
        <row r="76">
          <cell r="A76" t="str">
            <v>Jordan</v>
          </cell>
          <cell r="B76" t="str">
            <v>Middle East</v>
          </cell>
        </row>
        <row r="77">
          <cell r="A77" t="str">
            <v>Kazakhstan</v>
          </cell>
          <cell r="B77" t="str">
            <v>Eastern Europe &amp; Russia</v>
          </cell>
        </row>
        <row r="78">
          <cell r="A78" t="str">
            <v>Kenya</v>
          </cell>
          <cell r="B78" t="str">
            <v>Africa</v>
          </cell>
        </row>
        <row r="79">
          <cell r="A79" t="str">
            <v>Korea</v>
          </cell>
          <cell r="B79" t="str">
            <v>Asia</v>
          </cell>
        </row>
        <row r="80">
          <cell r="A80" t="str">
            <v>Kuwait</v>
          </cell>
          <cell r="B80" t="str">
            <v>Middle East</v>
          </cell>
        </row>
        <row r="81">
          <cell r="A81" t="str">
            <v>Latvia</v>
          </cell>
          <cell r="B81" t="str">
            <v>Eastern Europe &amp; Russia</v>
          </cell>
        </row>
        <row r="82">
          <cell r="A82" t="str">
            <v>Lebanon</v>
          </cell>
          <cell r="B82" t="str">
            <v>Middle East</v>
          </cell>
        </row>
        <row r="83">
          <cell r="A83" t="str">
            <v>Liechtenstein</v>
          </cell>
          <cell r="B83" t="str">
            <v>Western Europe</v>
          </cell>
        </row>
        <row r="84">
          <cell r="A84" t="str">
            <v>Lithuania</v>
          </cell>
          <cell r="B84" t="str">
            <v>Eastern Europe &amp; Russia</v>
          </cell>
        </row>
        <row r="85">
          <cell r="A85" t="str">
            <v>Luxembourg</v>
          </cell>
          <cell r="B85" t="str">
            <v>Western Europe</v>
          </cell>
        </row>
        <row r="86">
          <cell r="A86" t="str">
            <v>Macao</v>
          </cell>
          <cell r="B86" t="str">
            <v>Asia</v>
          </cell>
        </row>
        <row r="87">
          <cell r="A87" t="str">
            <v>Macedonia</v>
          </cell>
          <cell r="B87" t="str">
            <v>Eastern Europe &amp; Russia</v>
          </cell>
        </row>
        <row r="88">
          <cell r="A88" t="str">
            <v>Malaysia</v>
          </cell>
          <cell r="B88" t="str">
            <v>Asia</v>
          </cell>
        </row>
        <row r="89">
          <cell r="A89" t="str">
            <v>Malta</v>
          </cell>
          <cell r="B89" t="str">
            <v>Western Europe</v>
          </cell>
        </row>
        <row r="90">
          <cell r="A90" t="str">
            <v>Mauritius</v>
          </cell>
          <cell r="B90" t="str">
            <v>Asia</v>
          </cell>
        </row>
        <row r="91">
          <cell r="A91" t="str">
            <v>Mexico</v>
          </cell>
          <cell r="B91" t="str">
            <v>Central and South America</v>
          </cell>
        </row>
        <row r="92">
          <cell r="A92" t="str">
            <v>Moldova</v>
          </cell>
          <cell r="B92" t="str">
            <v>Eastern Europe &amp; Russia</v>
          </cell>
        </row>
        <row r="93">
          <cell r="A93" t="str">
            <v>Mongolia</v>
          </cell>
          <cell r="B93" t="str">
            <v>Asia</v>
          </cell>
        </row>
        <row r="94">
          <cell r="A94" t="str">
            <v>Montenegro</v>
          </cell>
          <cell r="B94" t="str">
            <v>Eastern Europe &amp; Russia</v>
          </cell>
        </row>
        <row r="95">
          <cell r="A95" t="str">
            <v>Montserrat</v>
          </cell>
          <cell r="B95" t="str">
            <v>Caribbean</v>
          </cell>
        </row>
        <row r="96">
          <cell r="A96" t="str">
            <v>Morocco</v>
          </cell>
          <cell r="B96" t="str">
            <v>Africa</v>
          </cell>
        </row>
        <row r="97">
          <cell r="A97" t="str">
            <v>Mozambique</v>
          </cell>
          <cell r="B97" t="str">
            <v>Africa</v>
          </cell>
        </row>
        <row r="98">
          <cell r="A98" t="str">
            <v>Namibia</v>
          </cell>
          <cell r="B98" t="str">
            <v>Africa</v>
          </cell>
        </row>
        <row r="99">
          <cell r="A99" t="str">
            <v>Netherlands</v>
          </cell>
          <cell r="B99" t="str">
            <v>Western Europe</v>
          </cell>
        </row>
        <row r="100">
          <cell r="A100" t="str">
            <v>New Zealand</v>
          </cell>
          <cell r="B100" t="str">
            <v>Australia &amp; New Zealand</v>
          </cell>
        </row>
        <row r="101">
          <cell r="A101" t="str">
            <v>Nicaragua</v>
          </cell>
          <cell r="B101" t="str">
            <v>Central and South America</v>
          </cell>
        </row>
        <row r="102">
          <cell r="A102" t="str">
            <v>Nigeria</v>
          </cell>
          <cell r="B102" t="str">
            <v>Africa</v>
          </cell>
        </row>
        <row r="103">
          <cell r="A103" t="str">
            <v>Norway</v>
          </cell>
          <cell r="B103" t="str">
            <v>Western Europe</v>
          </cell>
        </row>
        <row r="104">
          <cell r="A104" t="str">
            <v>Oman</v>
          </cell>
          <cell r="B104" t="str">
            <v>Middle East</v>
          </cell>
        </row>
        <row r="105">
          <cell r="A105" t="str">
            <v>Pakistan</v>
          </cell>
          <cell r="B105" t="str">
            <v>Asia</v>
          </cell>
        </row>
        <row r="106">
          <cell r="A106" t="str">
            <v>Panama</v>
          </cell>
          <cell r="B106" t="str">
            <v>Central and South America</v>
          </cell>
        </row>
        <row r="107">
          <cell r="A107" t="str">
            <v>Papua New Guinea</v>
          </cell>
          <cell r="B107" t="str">
            <v>Asia</v>
          </cell>
        </row>
        <row r="108">
          <cell r="A108" t="str">
            <v>Paraguay</v>
          </cell>
          <cell r="B108" t="str">
            <v>Central and South America</v>
          </cell>
        </row>
        <row r="109">
          <cell r="A109" t="str">
            <v>Peru</v>
          </cell>
          <cell r="B109" t="str">
            <v>Central and South America</v>
          </cell>
        </row>
        <row r="110">
          <cell r="A110" t="str">
            <v>Philippines</v>
          </cell>
          <cell r="B110" t="str">
            <v>Asia</v>
          </cell>
        </row>
        <row r="111">
          <cell r="A111" t="str">
            <v>Poland</v>
          </cell>
          <cell r="B111" t="str">
            <v>Eastern Europe &amp; Russia</v>
          </cell>
        </row>
        <row r="112">
          <cell r="A112" t="str">
            <v>Portugal</v>
          </cell>
          <cell r="B112" t="str">
            <v>Western Europe</v>
          </cell>
        </row>
        <row r="113">
          <cell r="A113" t="str">
            <v>Qatar</v>
          </cell>
          <cell r="B113" t="str">
            <v>Middle East</v>
          </cell>
        </row>
        <row r="114">
          <cell r="A114" t="str">
            <v>Ras Al Kaminah</v>
          </cell>
          <cell r="B114" t="str">
            <v>Middle East</v>
          </cell>
        </row>
        <row r="115">
          <cell r="A115" t="str">
            <v>Republic of the Congo</v>
          </cell>
          <cell r="B115" t="str">
            <v>Africa</v>
          </cell>
        </row>
        <row r="116">
          <cell r="A116" t="str">
            <v>Romania</v>
          </cell>
          <cell r="B116" t="str">
            <v>Eastern Europe &amp; Russia</v>
          </cell>
        </row>
        <row r="117">
          <cell r="A117" t="str">
            <v>Russia</v>
          </cell>
          <cell r="B117" t="str">
            <v>Eastern Europe &amp; Russia</v>
          </cell>
        </row>
        <row r="118">
          <cell r="A118" t="str">
            <v>Rwanda</v>
          </cell>
          <cell r="B118" t="str">
            <v>Africa</v>
          </cell>
        </row>
        <row r="119">
          <cell r="A119" t="str">
            <v>Saudi Arabia</v>
          </cell>
          <cell r="B119" t="str">
            <v>Middle East</v>
          </cell>
        </row>
        <row r="120">
          <cell r="A120" t="str">
            <v>Senegal</v>
          </cell>
          <cell r="B120" t="str">
            <v>Africa</v>
          </cell>
        </row>
        <row r="121">
          <cell r="A121" t="str">
            <v>Serbia</v>
          </cell>
          <cell r="B121" t="str">
            <v>Eastern Europe &amp; Russia</v>
          </cell>
        </row>
        <row r="122">
          <cell r="A122" t="str">
            <v>Sharjah</v>
          </cell>
          <cell r="B122" t="str">
            <v>Middle East</v>
          </cell>
        </row>
        <row r="123">
          <cell r="A123" t="str">
            <v>Singapore</v>
          </cell>
          <cell r="B123" t="str">
            <v>Asia</v>
          </cell>
        </row>
        <row r="124">
          <cell r="A124" t="str">
            <v>Slovakia</v>
          </cell>
          <cell r="B124" t="str">
            <v>Eastern Europe &amp; Russia</v>
          </cell>
        </row>
        <row r="125">
          <cell r="A125" t="str">
            <v>Slovenia</v>
          </cell>
          <cell r="B125" t="str">
            <v>Eastern Europe &amp; Russia</v>
          </cell>
        </row>
        <row r="126">
          <cell r="A126" t="str">
            <v>South Africa</v>
          </cell>
          <cell r="B126" t="str">
            <v>Africa</v>
          </cell>
        </row>
        <row r="127">
          <cell r="A127" t="str">
            <v>Spain</v>
          </cell>
          <cell r="B127" t="str">
            <v>Western Europe</v>
          </cell>
        </row>
        <row r="128">
          <cell r="A128" t="str">
            <v>Sri Lanka</v>
          </cell>
          <cell r="B128" t="str">
            <v>Asia</v>
          </cell>
        </row>
        <row r="129">
          <cell r="A129" t="str">
            <v>St. Maarten</v>
          </cell>
          <cell r="B129" t="str">
            <v>Caribbean</v>
          </cell>
        </row>
        <row r="130">
          <cell r="A130" t="str">
            <v>St. Vincent &amp; the Grenadines</v>
          </cell>
          <cell r="B130" t="str">
            <v>Caribbean</v>
          </cell>
        </row>
        <row r="131">
          <cell r="A131" t="str">
            <v>Suriname</v>
          </cell>
          <cell r="B131" t="str">
            <v>Central and South America</v>
          </cell>
        </row>
        <row r="132">
          <cell r="A132" t="str">
            <v>Sweden</v>
          </cell>
          <cell r="B132" t="str">
            <v>Western Europe</v>
          </cell>
        </row>
        <row r="133">
          <cell r="A133" t="str">
            <v>Switzerland</v>
          </cell>
          <cell r="B133" t="str">
            <v>Western Europe</v>
          </cell>
        </row>
        <row r="134">
          <cell r="A134" t="str">
            <v>Taiwan</v>
          </cell>
          <cell r="B134" t="str">
            <v>Asia</v>
          </cell>
        </row>
        <row r="135">
          <cell r="A135" t="str">
            <v>Thailand</v>
          </cell>
          <cell r="B135" t="str">
            <v>Asia</v>
          </cell>
        </row>
        <row r="136">
          <cell r="A136" t="str">
            <v>Trinidad and Tobago</v>
          </cell>
          <cell r="B136" t="str">
            <v>Caribbean</v>
          </cell>
        </row>
        <row r="137">
          <cell r="A137" t="str">
            <v>Tunisia</v>
          </cell>
          <cell r="B137" t="str">
            <v>Africa</v>
          </cell>
        </row>
        <row r="138">
          <cell r="A138" t="str">
            <v>Turkey</v>
          </cell>
          <cell r="B138" t="str">
            <v>Western Europe</v>
          </cell>
        </row>
        <row r="139">
          <cell r="A139" t="str">
            <v>Turkmenistan</v>
          </cell>
          <cell r="B139" t="str">
            <v>Eastern Europe &amp; Russia</v>
          </cell>
        </row>
        <row r="140">
          <cell r="A140" t="str">
            <v>Turks and Caicos</v>
          </cell>
          <cell r="B140" t="str">
            <v>Caribbean</v>
          </cell>
        </row>
        <row r="141">
          <cell r="A141" t="str">
            <v>Uganda</v>
          </cell>
          <cell r="B141" t="str">
            <v>Africa</v>
          </cell>
        </row>
        <row r="142">
          <cell r="A142" t="str">
            <v>Ukraine</v>
          </cell>
          <cell r="B142" t="str">
            <v>Eastern Europe &amp; Russia</v>
          </cell>
        </row>
        <row r="143">
          <cell r="A143" t="str">
            <v>United Arab Emirates</v>
          </cell>
          <cell r="B143" t="str">
            <v>Middle East</v>
          </cell>
        </row>
        <row r="144">
          <cell r="A144" t="str">
            <v>United Kingdom</v>
          </cell>
          <cell r="B144" t="str">
            <v>Western Europe</v>
          </cell>
        </row>
        <row r="145">
          <cell r="A145" t="str">
            <v>United States of America</v>
          </cell>
          <cell r="B145" t="str">
            <v>North America</v>
          </cell>
        </row>
        <row r="146">
          <cell r="A146" t="str">
            <v>Uruguay</v>
          </cell>
          <cell r="B146" t="str">
            <v>Central and South America</v>
          </cell>
        </row>
        <row r="147">
          <cell r="A147" t="str">
            <v>Venezuela</v>
          </cell>
          <cell r="B147" t="str">
            <v>Central and South America</v>
          </cell>
        </row>
        <row r="148">
          <cell r="A148" t="str">
            <v>Vietnam</v>
          </cell>
          <cell r="B148" t="str">
            <v>Asia</v>
          </cell>
        </row>
        <row r="149">
          <cell r="A149" t="str">
            <v>Zambia</v>
          </cell>
          <cell r="B149" t="str">
            <v>Africa</v>
          </cell>
        </row>
      </sheetData>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Balance General"/>
      <sheetName val="Estado de Resultados"/>
      <sheetName val="Betas Damodaran"/>
      <sheetName val="Risk Premium"/>
      <sheetName val="RP"/>
      <sheetName val="ERPs by country"/>
      <sheetName val="Factor"/>
      <sheetName val="Ratios"/>
      <sheetName val="CapitalTrabajo"/>
      <sheetName val="Kd"/>
      <sheetName val="Ke"/>
      <sheetName val="WACC"/>
      <sheetName val="Supuestos"/>
      <sheetName val="Flujo de Ca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02">
          <cell r="C102">
            <v>3.3924907423749899</v>
          </cell>
          <cell r="D102">
            <v>2.7986802520605334</v>
          </cell>
          <cell r="E102">
            <v>2.6484023395317191</v>
          </cell>
          <cell r="F102">
            <v>1.4104396976633742</v>
          </cell>
          <cell r="G102">
            <v>1.5489133111122679</v>
          </cell>
          <cell r="H102">
            <v>0.74963199108068324</v>
          </cell>
          <cell r="I102">
            <v>0.82634217858840864</v>
          </cell>
        </row>
      </sheetData>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id="4" name="Tabla15" displayName="Tabla15" ref="B97:I114" totalsRowShown="0" headerRowDxfId="47" dataDxfId="46" headerRowCellStyle="Millares" dataCellStyle="Millares">
  <tableColumns count="8">
    <tableColumn id="1" name="Columna1" dataDxfId="45"/>
    <tableColumn id="2" name="2015" dataDxfId="44" dataCellStyle="Millares"/>
    <tableColumn id="3" name="2014" dataDxfId="43" dataCellStyle="Millares"/>
    <tableColumn id="4" name="2013" dataDxfId="42" dataCellStyle="Millares"/>
    <tableColumn id="5" name="2012" dataDxfId="41" dataCellStyle="Millares"/>
    <tableColumn id="6" name="2011" dataDxfId="40" dataCellStyle="Millares"/>
    <tableColumn id="7" name="2010" dataDxfId="39" dataCellStyle="Millares"/>
    <tableColumn id="8" name="2009" dataDxfId="38" dataCellStyle="Millares"/>
  </tableColumns>
  <tableStyleInfo name="TableStyleLight9" showFirstColumn="0" showLastColumn="0" showRowStripes="1" showColumnStripes="0"/>
</table>
</file>

<file path=xl/tables/table2.xml><?xml version="1.0" encoding="utf-8"?>
<table xmlns="http://schemas.openxmlformats.org/spreadsheetml/2006/main" id="3" name="Table14" displayName="Table14" ref="B19:K107" totalsRowShown="0" headerRowDxfId="37" dataDxfId="35" headerRowBorderDxfId="36" tableBorderDxfId="34">
  <autoFilter ref="B19:K107"/>
  <tableColumns count="10">
    <tableColumn id="1" name="Year" dataDxfId="33"/>
    <tableColumn id="2" name="S&amp;P 500" dataDxfId="32"/>
    <tableColumn id="3" name="3-month T.Bill" dataDxfId="31"/>
    <tableColumn id="4" name="10-year T. Bond" dataDxfId="30"/>
    <tableColumn id="5" name="Stocks" dataDxfId="29"/>
    <tableColumn id="6" name="T.Bills" dataDxfId="28"/>
    <tableColumn id="7" name="T.Bonds" dataDxfId="27"/>
    <tableColumn id="8" name="Stocks - Bills" dataDxfId="26"/>
    <tableColumn id="9" name="Stocks - Bonds" dataDxfId="25"/>
    <tableColumn id="10" name="Historical risk premium" dataDxfId="24"/>
  </tableColumns>
  <tableStyleInfo name="TableStyleLight1" showFirstColumn="0" showLastColumn="0" showRowStripes="1" showColumnStripes="0"/>
</table>
</file>

<file path=xl/tables/table3.xml><?xml version="1.0" encoding="utf-8"?>
<table xmlns="http://schemas.openxmlformats.org/spreadsheetml/2006/main" id="1" name="Tabla1" displayName="Tabla1" ref="C28:H36" totalsRowShown="0" headerRowDxfId="23" dataDxfId="21" headerRowBorderDxfId="22" tableBorderDxfId="20" totalsRowBorderDxfId="19">
  <tableColumns count="6">
    <tableColumn id="1" name="Compañía" dataDxfId="18" dataCellStyle="Normal 2"/>
    <tableColumn id="2" name="País" dataDxfId="17" dataCellStyle="Normal 2"/>
    <tableColumn id="3" name="Actividad principal" dataDxfId="16" dataCellStyle="Normal 2"/>
    <tableColumn id="4" name="Market Cap (USDMM)" dataDxfId="15" dataCellStyle="Millares"/>
    <tableColumn id="5" name="Cotización al alza" dataDxfId="14" dataCellStyle="Normal 2"/>
    <tableColumn id="6" name="Mix de productos" dataDxfId="13" dataCellStyle="Normal 2"/>
  </tableColumns>
  <tableStyleInfo showFirstColumn="0" showLastColumn="0" showRowStripes="1" showColumnStripes="0"/>
</table>
</file>

<file path=xl/tables/table4.xml><?xml version="1.0" encoding="utf-8"?>
<table xmlns="http://schemas.openxmlformats.org/spreadsheetml/2006/main" id="2" name="Tabla2" displayName="Tabla2" ref="A1:B6" totalsRowShown="0" headerRowDxfId="12" dataDxfId="11">
  <autoFilter ref="A1:B6"/>
  <tableColumns count="2">
    <tableColumn id="1" name="Descripción" dataDxfId="10"/>
    <tableColumn id="2" name="Variable" dataDxfId="9"/>
  </tableColumns>
  <tableStyleInfo name="TableStyleMedium9" showFirstColumn="0" showLastColumn="0" showRowStripes="1" showColumnStripes="0"/>
</table>
</file>

<file path=xl/tables/table5.xml><?xml version="1.0" encoding="utf-8"?>
<table xmlns="http://schemas.openxmlformats.org/spreadsheetml/2006/main" id="5" name="Tabla5" displayName="Tabla5" ref="A39:F44" totalsRowShown="0" headerRowDxfId="8" dataDxfId="7" tableBorderDxfId="6">
  <autoFilter ref="A39:F44"/>
  <tableColumns count="6">
    <tableColumn id="1" name="Variable" dataDxfId="5"/>
    <tableColumn id="2" name="PBI_CONSUMO" dataDxfId="4"/>
    <tableColumn id="3" name="IPC" dataDxfId="3"/>
    <tableColumn id="4" name="PROD_GAS" dataDxfId="2"/>
    <tableColumn id="5" name="PROD_AGUA" dataDxfId="1"/>
    <tableColumn id="6" name="PROD_GAS_LNY"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lindley.p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9.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3" Type="http://schemas.openxmlformats.org/officeDocument/2006/relationships/hyperlink" Target="http://www.stern.nyu.edu/~adamodar/New_Home_Page/data.html" TargetMode="External"/><Relationship Id="rId2" Type="http://schemas.openxmlformats.org/officeDocument/2006/relationships/hyperlink" Target="http://www.damodaran.com/" TargetMode="External"/><Relationship Id="rId1" Type="http://schemas.openxmlformats.org/officeDocument/2006/relationships/hyperlink" Target="mailto:adamodar@stern.nyu.edu?subject=Data%20on%20website" TargetMode="External"/><Relationship Id="rId5" Type="http://schemas.openxmlformats.org/officeDocument/2006/relationships/hyperlink" Target="http://www.stern.nyu.edu/~adamodar/New_Home_Page/datafile/variable.htm" TargetMode="External"/><Relationship Id="rId4" Type="http://schemas.openxmlformats.org/officeDocument/2006/relationships/hyperlink" Target="http://www.stern.nyu.edu/~adamodar/pc/datasets/indname.xls" TargetMode="External"/></Relationships>
</file>

<file path=xl/worksheets/_rels/sheet7.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www.stern.nyu.edu/~adamodar/New_Home_Page/data.html" TargetMode="External"/><Relationship Id="rId7" Type="http://schemas.openxmlformats.org/officeDocument/2006/relationships/table" Target="../tables/table2.xml"/><Relationship Id="rId2" Type="http://schemas.openxmlformats.org/officeDocument/2006/relationships/hyperlink" Target="http://www.stern.nyu.edu/~adamodar/pc/datasets/indname.xls" TargetMode="External"/><Relationship Id="rId1" Type="http://schemas.openxmlformats.org/officeDocument/2006/relationships/hyperlink" Target="http://www.stern.nyu.edu/~adamodar/New_Home_Page/datafile/variable.htm" TargetMode="External"/><Relationship Id="rId6" Type="http://schemas.openxmlformats.org/officeDocument/2006/relationships/vmlDrawing" Target="../drawings/vmlDrawing3.vml"/><Relationship Id="rId5" Type="http://schemas.openxmlformats.org/officeDocument/2006/relationships/hyperlink" Target="mailto:adamodar@stern.nyu.edu?subject=Data%20on%20website" TargetMode="External"/><Relationship Id="rId4" Type="http://schemas.openxmlformats.org/officeDocument/2006/relationships/hyperlink" Target="http://www.damodaran.com/"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6:M16"/>
  <sheetViews>
    <sheetView showGridLines="0" workbookViewId="0">
      <selection activeCell="I18" sqref="I18"/>
    </sheetView>
  </sheetViews>
  <sheetFormatPr baseColWidth="10" defaultRowHeight="14.25"/>
  <cols>
    <col min="1" max="1" width="6.42578125" style="155" customWidth="1"/>
    <col min="2" max="16384" width="11.42578125" style="155"/>
  </cols>
  <sheetData>
    <row r="6" spans="9:13" ht="20.25">
      <c r="J6" s="156" t="s">
        <v>769</v>
      </c>
    </row>
    <row r="7" spans="9:13" ht="20.25">
      <c r="J7" s="156" t="s">
        <v>1763</v>
      </c>
    </row>
    <row r="8" spans="9:13" ht="18">
      <c r="I8" s="157"/>
    </row>
    <row r="9" spans="9:13" ht="15">
      <c r="I9" s="158"/>
    </row>
    <row r="10" spans="9:13" ht="18">
      <c r="I10" s="157" t="s">
        <v>770</v>
      </c>
    </row>
    <row r="11" spans="9:13" ht="15.75">
      <c r="I11" s="159"/>
    </row>
    <row r="12" spans="9:13" ht="15.75">
      <c r="I12" s="159" t="s">
        <v>771</v>
      </c>
    </row>
    <row r="13" spans="9:13" ht="15">
      <c r="I13" s="1265" t="s">
        <v>772</v>
      </c>
      <c r="J13" s="1266"/>
      <c r="K13" s="1266"/>
      <c r="L13" s="1266"/>
      <c r="M13" s="1266"/>
    </row>
    <row r="14" spans="9:13" ht="15">
      <c r="I14" s="1265" t="s">
        <v>774</v>
      </c>
      <c r="J14" s="1266"/>
      <c r="K14" s="1266"/>
      <c r="L14" s="1266"/>
      <c r="M14" s="1266"/>
    </row>
    <row r="15" spans="9:13" ht="15">
      <c r="I15" s="1265" t="s">
        <v>773</v>
      </c>
      <c r="J15" s="1266"/>
      <c r="K15" s="1266"/>
      <c r="L15" s="1266"/>
      <c r="M15" s="1266"/>
    </row>
    <row r="16" spans="9:13" ht="15">
      <c r="I16" s="27"/>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2:Q22"/>
  <sheetViews>
    <sheetView showGridLines="0" zoomScaleNormal="100" workbookViewId="0">
      <selection activeCell="H24" sqref="H24"/>
    </sheetView>
  </sheetViews>
  <sheetFormatPr baseColWidth="10" defaultRowHeight="12.75"/>
  <cols>
    <col min="1" max="1" width="3.28515625" style="62" customWidth="1"/>
    <col min="2" max="2" width="21.28515625" style="62" customWidth="1"/>
    <col min="3" max="3" width="13.85546875" style="62" bestFit="1" customWidth="1"/>
    <col min="4" max="4" width="14.5703125" style="62" bestFit="1" customWidth="1"/>
    <col min="5" max="5" width="14.42578125" style="62" bestFit="1" customWidth="1"/>
    <col min="6" max="6" width="13.85546875" style="62" bestFit="1" customWidth="1"/>
    <col min="7" max="7" width="7" style="62" bestFit="1" customWidth="1"/>
    <col min="8" max="8" width="22.42578125" style="1" bestFit="1" customWidth="1"/>
    <col min="9" max="9" width="4.7109375" style="62" customWidth="1"/>
    <col min="10" max="10" width="11.42578125" style="62"/>
    <col min="11" max="11" width="8.85546875" style="62" customWidth="1"/>
    <col min="12" max="13" width="10.7109375" style="62" customWidth="1"/>
    <col min="14" max="14" width="16" style="62" customWidth="1"/>
    <col min="15" max="15" width="13.42578125" style="62" customWidth="1"/>
    <col min="16" max="16" width="9.85546875" style="62" customWidth="1"/>
    <col min="17" max="16384" width="11.42578125" style="62"/>
  </cols>
  <sheetData>
    <row r="2" spans="2:17" ht="15.75">
      <c r="B2" s="28" t="s">
        <v>1806</v>
      </c>
      <c r="J2" s="61" t="s">
        <v>1807</v>
      </c>
    </row>
    <row r="4" spans="2:17">
      <c r="J4" s="1673" t="s">
        <v>1478</v>
      </c>
      <c r="K4" s="1674"/>
      <c r="L4" s="1674"/>
      <c r="M4" s="1674"/>
      <c r="N4" s="1674"/>
      <c r="O4" s="1675"/>
    </row>
    <row r="5" spans="2:17">
      <c r="B5" s="1397" t="s">
        <v>456</v>
      </c>
      <c r="C5" s="1397" t="s">
        <v>457</v>
      </c>
      <c r="D5" s="1397" t="s">
        <v>458</v>
      </c>
      <c r="E5" s="1397" t="s">
        <v>459</v>
      </c>
      <c r="F5" s="1397" t="s">
        <v>460</v>
      </c>
      <c r="I5" s="2"/>
      <c r="J5" s="1676" t="s">
        <v>2</v>
      </c>
      <c r="K5" s="1677"/>
      <c r="L5" s="1678" t="s">
        <v>1473</v>
      </c>
      <c r="M5" s="1678"/>
      <c r="N5" s="63" t="s">
        <v>1474</v>
      </c>
      <c r="O5" s="64" t="s">
        <v>1475</v>
      </c>
    </row>
    <row r="6" spans="2:17">
      <c r="B6" s="3" t="s">
        <v>461</v>
      </c>
      <c r="C6" s="4">
        <v>7388470</v>
      </c>
      <c r="D6" s="5">
        <v>4.1500000000000004</v>
      </c>
      <c r="E6" s="4" t="s">
        <v>462</v>
      </c>
      <c r="F6" s="4">
        <v>27854532</v>
      </c>
      <c r="G6" s="2"/>
      <c r="H6" s="6" t="s">
        <v>463</v>
      </c>
      <c r="I6" s="2"/>
      <c r="J6" s="1679" t="s">
        <v>1476</v>
      </c>
      <c r="K6" s="1680"/>
      <c r="L6" s="1681">
        <v>308847336</v>
      </c>
      <c r="M6" s="1681"/>
      <c r="N6" s="65">
        <v>758700000</v>
      </c>
      <c r="O6" s="66">
        <f>N6/L6</f>
        <v>2.4565534863477017</v>
      </c>
      <c r="P6" s="1328">
        <f>+O6*3.221</f>
        <v>7.9125587795259475</v>
      </c>
    </row>
    <row r="7" spans="2:17">
      <c r="B7" s="3" t="s">
        <v>464</v>
      </c>
      <c r="C7" s="4">
        <v>847191731</v>
      </c>
      <c r="D7" s="5">
        <v>5.75</v>
      </c>
      <c r="E7" s="4" t="s">
        <v>465</v>
      </c>
      <c r="F7" s="4">
        <v>5167869559</v>
      </c>
      <c r="G7" s="14">
        <f>D7/D6-1</f>
        <v>0.3855421686746987</v>
      </c>
      <c r="H7" s="6" t="s">
        <v>1706</v>
      </c>
      <c r="I7" s="2"/>
      <c r="J7" s="1682" t="s">
        <v>1477</v>
      </c>
      <c r="K7" s="1683"/>
      <c r="L7" s="1684">
        <v>38441001</v>
      </c>
      <c r="M7" s="1684"/>
      <c r="N7" s="67">
        <v>60352371.57</v>
      </c>
      <c r="O7" s="68">
        <f>N7/L7</f>
        <v>1.57</v>
      </c>
      <c r="P7" s="1328">
        <f>+O7*3.43</f>
        <v>5.3851000000000004</v>
      </c>
    </row>
    <row r="8" spans="2:17">
      <c r="B8" s="2"/>
      <c r="C8" s="85"/>
      <c r="D8" s="8"/>
      <c r="E8" s="7"/>
      <c r="F8" s="7"/>
      <c r="G8" s="82"/>
      <c r="H8" s="9"/>
      <c r="I8" s="2"/>
      <c r="J8" s="69" t="s">
        <v>841</v>
      </c>
      <c r="K8" s="70"/>
      <c r="L8" s="1685">
        <f>SUM(L6:M7)</f>
        <v>347288337</v>
      </c>
      <c r="M8" s="1685"/>
      <c r="N8" s="71">
        <f>SUM(N6:N7)</f>
        <v>819052371.57000005</v>
      </c>
      <c r="O8" s="72">
        <f>N8/L8</f>
        <v>2.3584217617132364</v>
      </c>
      <c r="P8" s="1328">
        <f>(L6*P6+L7*P7)/L8</f>
        <v>7.632796878189148</v>
      </c>
      <c r="Q8" s="75">
        <f>O8/O15</f>
        <v>1.0278516301736307</v>
      </c>
    </row>
    <row r="9" spans="2:17">
      <c r="B9" s="2"/>
      <c r="C9" s="7"/>
      <c r="D9" s="8"/>
      <c r="E9" s="7"/>
      <c r="F9" s="7"/>
      <c r="G9" s="81"/>
      <c r="I9" s="2"/>
      <c r="O9" s="73"/>
    </row>
    <row r="10" spans="2:17" ht="24" customHeight="1">
      <c r="B10" s="1397" t="s">
        <v>1681</v>
      </c>
      <c r="C10" s="1397" t="s">
        <v>457</v>
      </c>
      <c r="D10" s="1397" t="s">
        <v>458</v>
      </c>
      <c r="E10" s="1397" t="s">
        <v>459</v>
      </c>
      <c r="F10" s="1397" t="s">
        <v>460</v>
      </c>
      <c r="G10" s="81"/>
      <c r="I10" s="2"/>
      <c r="J10" s="1676" t="s">
        <v>1693</v>
      </c>
      <c r="K10" s="1677"/>
      <c r="L10" s="1678" t="s">
        <v>1473</v>
      </c>
      <c r="M10" s="1678"/>
      <c r="N10" s="74" t="s">
        <v>1474</v>
      </c>
      <c r="O10" s="64" t="s">
        <v>1475</v>
      </c>
    </row>
    <row r="11" spans="2:17">
      <c r="B11" s="3" t="s">
        <v>461</v>
      </c>
      <c r="C11" s="4">
        <v>50503124</v>
      </c>
      <c r="D11" s="5">
        <v>2.36</v>
      </c>
      <c r="E11" s="4" t="s">
        <v>462</v>
      </c>
      <c r="F11" s="4">
        <f>D11*C11</f>
        <v>119187372.64</v>
      </c>
      <c r="G11" s="2"/>
      <c r="H11" s="6" t="s">
        <v>463</v>
      </c>
      <c r="I11" s="2"/>
      <c r="J11" s="1679" t="s">
        <v>1694</v>
      </c>
      <c r="K11" s="1680"/>
      <c r="L11" s="1681">
        <v>1286024</v>
      </c>
      <c r="M11" s="1681"/>
      <c r="N11" s="65">
        <v>1144561</v>
      </c>
      <c r="O11" s="66">
        <f>N11/L11</f>
        <v>0.88999972006743266</v>
      </c>
      <c r="P11" s="1328">
        <f>+O11*3.43</f>
        <v>3.0526990398312943</v>
      </c>
    </row>
    <row r="12" spans="2:17">
      <c r="B12" s="3" t="s">
        <v>464</v>
      </c>
      <c r="C12" s="4">
        <v>531461479</v>
      </c>
      <c r="D12" s="5">
        <v>3.89</v>
      </c>
      <c r="E12" s="4" t="s">
        <v>465</v>
      </c>
      <c r="F12" s="4">
        <f>D12*C12</f>
        <v>2067385153.3100002</v>
      </c>
      <c r="G12" s="15">
        <f>D12/D11-1</f>
        <v>0.64830508474576276</v>
      </c>
      <c r="H12" s="6" t="s">
        <v>1706</v>
      </c>
      <c r="I12" s="2"/>
      <c r="J12" s="1682" t="s">
        <v>1695</v>
      </c>
      <c r="K12" s="1683"/>
      <c r="L12" s="1684">
        <v>14515728</v>
      </c>
      <c r="M12" s="1684"/>
      <c r="N12" s="67">
        <v>12918998</v>
      </c>
      <c r="O12" s="68">
        <f>N12/L12</f>
        <v>0.89000000551126335</v>
      </c>
      <c r="P12" s="1328">
        <f>+O12*3.403</f>
        <v>3.0286700187548292</v>
      </c>
    </row>
    <row r="13" spans="2:17">
      <c r="B13" s="2"/>
      <c r="C13" s="85"/>
      <c r="D13" s="8"/>
      <c r="E13" s="7"/>
      <c r="F13" s="7"/>
      <c r="G13" s="2"/>
      <c r="I13" s="2"/>
      <c r="J13" s="69" t="s">
        <v>841</v>
      </c>
      <c r="K13" s="70"/>
      <c r="L13" s="1685">
        <f>SUM(L11:M12)</f>
        <v>15801752</v>
      </c>
      <c r="M13" s="1685"/>
      <c r="N13" s="71">
        <f>SUM(N11:N12)</f>
        <v>14063559</v>
      </c>
      <c r="O13" s="72">
        <f>N13/L13</f>
        <v>0.88999998228044586</v>
      </c>
      <c r="P13" s="1328">
        <f>(L11*P11+L12*P12)/L13</f>
        <v>3.0306256182225866</v>
      </c>
      <c r="Q13" s="75">
        <f>O13/O15</f>
        <v>0.38788139911706299</v>
      </c>
    </row>
    <row r="14" spans="2:17">
      <c r="B14" s="1397" t="s">
        <v>1682</v>
      </c>
      <c r="C14" s="1397" t="s">
        <v>457</v>
      </c>
      <c r="D14" s="1397" t="s">
        <v>458</v>
      </c>
      <c r="E14" s="1397" t="s">
        <v>459</v>
      </c>
      <c r="F14" s="1397" t="s">
        <v>460</v>
      </c>
      <c r="G14" s="2"/>
      <c r="I14" s="2"/>
      <c r="P14" s="75"/>
    </row>
    <row r="15" spans="2:17">
      <c r="B15" s="3" t="s">
        <v>461</v>
      </c>
      <c r="C15" s="4">
        <v>21415462</v>
      </c>
      <c r="D15" s="5">
        <v>1.2</v>
      </c>
      <c r="E15" s="4" t="s">
        <v>462</v>
      </c>
      <c r="F15" s="4">
        <f>D15*C15</f>
        <v>25698554.399999999</v>
      </c>
      <c r="G15" s="2"/>
      <c r="H15" s="6" t="s">
        <v>463</v>
      </c>
      <c r="I15" s="2"/>
      <c r="J15" s="1686" t="s">
        <v>783</v>
      </c>
      <c r="K15" s="1687"/>
      <c r="L15" s="1688">
        <f>L8+L13</f>
        <v>363090089</v>
      </c>
      <c r="M15" s="1688"/>
      <c r="N15" s="76">
        <f>N13+N8</f>
        <v>833115930.57000005</v>
      </c>
      <c r="O15" s="77">
        <f>N15/L15</f>
        <v>2.2945157574102772</v>
      </c>
      <c r="Q15" s="78"/>
    </row>
    <row r="16" spans="2:17">
      <c r="B16" s="3" t="s">
        <v>464</v>
      </c>
      <c r="C16" s="4">
        <v>1309748288</v>
      </c>
      <c r="D16" s="5">
        <v>1.83</v>
      </c>
      <c r="E16" s="4" t="s">
        <v>465</v>
      </c>
      <c r="F16" s="4">
        <f>D16*C16</f>
        <v>2396839367.04</v>
      </c>
      <c r="G16" s="15">
        <f>D16/D15-1</f>
        <v>0.52500000000000013</v>
      </c>
      <c r="H16" s="6" t="s">
        <v>1706</v>
      </c>
      <c r="I16" s="2"/>
      <c r="J16" s="1683"/>
      <c r="K16" s="1683"/>
      <c r="L16" s="1684"/>
      <c r="M16" s="1684"/>
      <c r="N16" s="67"/>
      <c r="O16" s="79"/>
    </row>
    <row r="17" spans="2:15">
      <c r="B17" s="10"/>
      <c r="C17" s="85"/>
      <c r="D17" s="12"/>
      <c r="E17" s="11"/>
      <c r="F17" s="11"/>
      <c r="G17" s="16"/>
      <c r="H17" s="13"/>
      <c r="I17" s="2"/>
    </row>
    <row r="18" spans="2:15">
      <c r="B18" s="10"/>
      <c r="C18" s="10"/>
      <c r="D18" s="10"/>
      <c r="E18" s="10"/>
      <c r="F18" s="10"/>
      <c r="G18" s="16"/>
      <c r="H18" s="17"/>
      <c r="I18" s="2"/>
    </row>
    <row r="19" spans="2:15" ht="15">
      <c r="B19" s="1672" t="s">
        <v>1696</v>
      </c>
      <c r="C19" s="1672"/>
      <c r="D19" s="1672"/>
      <c r="E19" s="1672"/>
      <c r="F19" s="1672"/>
      <c r="G19" s="1400">
        <f>+AVERAGE(G5:G18)</f>
        <v>0.5196157511401539</v>
      </c>
      <c r="H19" s="13"/>
      <c r="I19" s="2"/>
      <c r="J19" s="1398" t="s">
        <v>1697</v>
      </c>
      <c r="K19" s="1398"/>
      <c r="L19" s="1398"/>
      <c r="M19" s="1398"/>
      <c r="N19" s="1398"/>
      <c r="O19" s="1399">
        <f>O8/O13-1</f>
        <v>1.6499121445713461</v>
      </c>
    </row>
    <row r="20" spans="2:15">
      <c r="B20" s="2" t="s">
        <v>1707</v>
      </c>
      <c r="C20" s="2"/>
      <c r="D20" s="10"/>
      <c r="E20" s="10"/>
      <c r="F20" s="10"/>
      <c r="G20" s="16"/>
      <c r="H20" s="13"/>
      <c r="I20" s="2"/>
    </row>
    <row r="21" spans="2:15">
      <c r="D21" s="2"/>
      <c r="E21" s="2"/>
      <c r="F21" s="2"/>
      <c r="G21" s="2"/>
      <c r="I21" s="2"/>
    </row>
    <row r="22" spans="2:15">
      <c r="C22" s="2"/>
      <c r="D22" s="2"/>
      <c r="E22" s="2"/>
      <c r="F22" s="2"/>
      <c r="G22" s="2"/>
      <c r="I22" s="2"/>
    </row>
  </sheetData>
  <mergeCells count="20">
    <mergeCell ref="L12:M12"/>
    <mergeCell ref="L13:M13"/>
    <mergeCell ref="J15:K15"/>
    <mergeCell ref="L15:M15"/>
    <mergeCell ref="B19:F19"/>
    <mergeCell ref="J4:O4"/>
    <mergeCell ref="J5:K5"/>
    <mergeCell ref="L5:M5"/>
    <mergeCell ref="J6:K6"/>
    <mergeCell ref="L6:M6"/>
    <mergeCell ref="J7:K7"/>
    <mergeCell ref="L7:M7"/>
    <mergeCell ref="L8:M8"/>
    <mergeCell ref="J10:K10"/>
    <mergeCell ref="L10:M10"/>
    <mergeCell ref="J11:K11"/>
    <mergeCell ref="L11:M11"/>
    <mergeCell ref="J12:K12"/>
    <mergeCell ref="J16:K16"/>
    <mergeCell ref="L16:M16"/>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W66"/>
  <sheetViews>
    <sheetView showGridLines="0" zoomScale="90" zoomScaleNormal="90" workbookViewId="0">
      <selection activeCell="S16" sqref="S16"/>
    </sheetView>
  </sheetViews>
  <sheetFormatPr baseColWidth="10" defaultRowHeight="14.25" outlineLevelCol="1"/>
  <cols>
    <col min="1" max="1" width="5.7109375" style="155" customWidth="1"/>
    <col min="2" max="3" width="14.7109375" style="155" customWidth="1"/>
    <col min="4" max="6" width="11.42578125" style="414" hidden="1" customWidth="1" outlineLevel="1"/>
    <col min="7" max="7" width="11.42578125" style="155" collapsed="1"/>
    <col min="8" max="13" width="10" style="155" bestFit="1" customWidth="1"/>
    <col min="14" max="14" width="14.5703125" style="155" bestFit="1" customWidth="1"/>
    <col min="15" max="16384" width="11.42578125" style="155"/>
  </cols>
  <sheetData>
    <row r="1" spans="2:23">
      <c r="G1" s="415"/>
      <c r="H1" s="415"/>
      <c r="I1" s="415"/>
      <c r="J1" s="415"/>
      <c r="K1" s="415"/>
      <c r="L1" s="415"/>
      <c r="M1" s="416"/>
    </row>
    <row r="2" spans="2:23" ht="18">
      <c r="B2" s="200" t="s">
        <v>706</v>
      </c>
      <c r="G2" s="415"/>
      <c r="H2" s="417"/>
    </row>
    <row r="3" spans="2:23" ht="15">
      <c r="B3" s="418" t="s">
        <v>767</v>
      </c>
      <c r="G3" s="415"/>
    </row>
    <row r="4" spans="2:23" ht="15">
      <c r="B4" s="418"/>
      <c r="G4" s="415"/>
    </row>
    <row r="5" spans="2:23" ht="15">
      <c r="B5" s="418" t="str">
        <f>CONCATENATE(" - El promedio de cobro entre 2010 y 2015 es  ",ROUND(G25,0)," dias. Se mantendra un periodo de cobro ",ROUND(S47,0)," dias. Se espera que la empresa hara la gestion para mantener el ratio")</f>
        <v xml:space="preserve"> - El promedio de cobro entre 2010 y 2015 es  27 dias. Se mantendra un periodo de cobro 26 dias. Se espera que la empresa hara la gestion para mantener el ratio</v>
      </c>
      <c r="G5" s="415"/>
    </row>
    <row r="6" spans="2:23" ht="15">
      <c r="B6" s="418" t="str">
        <f>CONCATENATE(" - El promedio de dias de inventario entre 2010 y 2015 es ",ROUND(G29,0)," dias. Se mantendra un periodo de rotacion de ",ROUND(S51,0)," dias. Se espera que la empresa hara la gestion para mantener el ratio")</f>
        <v xml:space="preserve"> - El promedio de dias de inventario entre 2010 y 2015 es 63 dias. Se mantendra un periodo de rotacion de 62 dias. Se espera que la empresa hara la gestion para mantener el ratio</v>
      </c>
      <c r="G6" s="415"/>
    </row>
    <row r="7" spans="2:23" ht="15">
      <c r="B7" s="418" t="str">
        <f>CONCATENATE(" - El promedio de dias de pago entre 2010 y 2015 es ",ROUND(G33,0)," dias. Se mantendra un periodo de pago de ",ROUND(S55,0)," dias. Se espera que la empresa hara la gestion para mantener el ratio")</f>
        <v xml:space="preserve"> - El promedio de dias de pago entre 2010 y 2015 es 104 dias. Se mantendra un periodo de pago de 109 dias. Se espera que la empresa hara la gestion para mantener el ratio</v>
      </c>
      <c r="G7" s="415"/>
    </row>
    <row r="8" spans="2:23" ht="15">
      <c r="B8" s="418"/>
      <c r="G8" s="415"/>
      <c r="J8" s="416"/>
      <c r="K8" s="416"/>
      <c r="L8" s="416"/>
      <c r="M8" s="416"/>
      <c r="N8" s="1533"/>
    </row>
    <row r="9" spans="2:23" ht="15">
      <c r="B9" s="419"/>
      <c r="C9" s="420"/>
      <c r="G9" s="1711" t="s">
        <v>707</v>
      </c>
      <c r="H9" s="1711"/>
      <c r="I9" s="1711"/>
      <c r="J9" s="1711"/>
      <c r="K9" s="1711"/>
      <c r="L9" s="1711"/>
      <c r="M9" s="1614"/>
      <c r="N9" s="1614" t="s">
        <v>708</v>
      </c>
      <c r="O9" s="1615"/>
      <c r="P9" s="1615"/>
      <c r="Q9" s="1615"/>
      <c r="R9" s="1616"/>
    </row>
    <row r="10" spans="2:23" ht="15">
      <c r="B10" s="421"/>
      <c r="C10" s="422"/>
      <c r="D10" s="423"/>
      <c r="E10" s="424"/>
      <c r="F10" s="424"/>
      <c r="G10" s="425">
        <v>2009</v>
      </c>
      <c r="H10" s="426">
        <v>2010</v>
      </c>
      <c r="I10" s="426">
        <v>2011</v>
      </c>
      <c r="J10" s="426">
        <v>2012</v>
      </c>
      <c r="K10" s="426">
        <v>2013</v>
      </c>
      <c r="L10" s="426">
        <v>2014</v>
      </c>
      <c r="M10" s="426">
        <v>2015</v>
      </c>
      <c r="N10" s="427">
        <v>2016</v>
      </c>
      <c r="O10" s="428">
        <v>2017</v>
      </c>
      <c r="P10" s="428">
        <v>2018</v>
      </c>
      <c r="Q10" s="428">
        <v>2019</v>
      </c>
      <c r="R10" s="429">
        <v>2020</v>
      </c>
    </row>
    <row r="11" spans="2:23" ht="15">
      <c r="B11" s="258" t="s">
        <v>331</v>
      </c>
      <c r="C11" s="422"/>
      <c r="D11" s="430"/>
      <c r="E11" s="431"/>
      <c r="F11" s="431"/>
      <c r="G11" s="432">
        <f>ER!Q11</f>
        <v>494216.53407125553</v>
      </c>
      <c r="H11" s="433">
        <f>ER!P11</f>
        <v>547543.25382698467</v>
      </c>
      <c r="I11" s="433">
        <f>ER!O11</f>
        <v>655473.48906192067</v>
      </c>
      <c r="J11" s="433">
        <f>ER!N11</f>
        <v>804019.20815366518</v>
      </c>
      <c r="K11" s="433">
        <f>ER!M11</f>
        <v>756799.71387696732</v>
      </c>
      <c r="L11" s="433">
        <f>ER!L11</f>
        <v>745425.75250836113</v>
      </c>
      <c r="M11" s="433">
        <f>ER!K11</f>
        <v>718019.06158357754</v>
      </c>
      <c r="N11" s="434">
        <f>'Flujo de Caja'!E11</f>
        <v>806969.27569980791</v>
      </c>
      <c r="O11" s="435">
        <f>'Flujo de Caja'!F11</f>
        <v>870628.09615714243</v>
      </c>
      <c r="P11" s="435">
        <f>'Flujo de Caja'!G11</f>
        <v>935187.06474920665</v>
      </c>
      <c r="Q11" s="435">
        <f>'Flujo de Caja'!H11</f>
        <v>995769.01863960642</v>
      </c>
      <c r="R11" s="436">
        <f>'Flujo de Caja'!I11</f>
        <v>1034683.7618308843</v>
      </c>
    </row>
    <row r="12" spans="2:23" ht="15">
      <c r="B12" s="258" t="s">
        <v>332</v>
      </c>
      <c r="C12" s="422"/>
      <c r="D12" s="430"/>
      <c r="E12" s="431"/>
      <c r="F12" s="431"/>
      <c r="G12" s="434">
        <f>ER!Q22</f>
        <v>342379.1075752335</v>
      </c>
      <c r="H12" s="435">
        <f>ER!P22</f>
        <v>385498.04200783186</v>
      </c>
      <c r="I12" s="435">
        <f>ER!O22</f>
        <v>471135.33555802749</v>
      </c>
      <c r="J12" s="435">
        <f>ER!N22</f>
        <v>546546.06036848284</v>
      </c>
      <c r="K12" s="435">
        <f>ER!M22</f>
        <v>506318.66952789703</v>
      </c>
      <c r="L12" s="435">
        <f>ER!L22</f>
        <v>499653.84615384613</v>
      </c>
      <c r="M12" s="435">
        <f>ER!K22</f>
        <v>455363.34310850437</v>
      </c>
      <c r="N12" s="434">
        <f>-'Flujo de Caja'!E12</f>
        <v>516460.33644787705</v>
      </c>
      <c r="O12" s="435">
        <f>-'Flujo de Caja'!F12</f>
        <v>557201.9815405712</v>
      </c>
      <c r="P12" s="435">
        <f>-'Flujo de Caja'!G12</f>
        <v>598519.72143949231</v>
      </c>
      <c r="Q12" s="435">
        <f>-'Flujo de Caja'!H12</f>
        <v>637292.17192934814</v>
      </c>
      <c r="R12" s="436">
        <f>-'Flujo de Caja'!I12</f>
        <v>662197.6075717659</v>
      </c>
      <c r="S12" s="435"/>
    </row>
    <row r="13" spans="2:23" ht="15">
      <c r="B13" s="258" t="s">
        <v>709</v>
      </c>
      <c r="C13" s="422"/>
      <c r="D13" s="430"/>
      <c r="E13" s="431"/>
      <c r="F13" s="431"/>
      <c r="G13" s="434">
        <f>BG!Q7</f>
        <v>24825.319958491873</v>
      </c>
      <c r="H13" s="435">
        <f>BG!P7</f>
        <v>34431.114275542895</v>
      </c>
      <c r="I13" s="435">
        <f>BG!O7</f>
        <v>56644.419725621061</v>
      </c>
      <c r="J13" s="435">
        <f>BG!N7</f>
        <v>58989.807918463346</v>
      </c>
      <c r="K13" s="435">
        <f>BG!M7</f>
        <v>67540.772532188843</v>
      </c>
      <c r="L13" s="435">
        <f>BG!L7</f>
        <v>72675.250836120395</v>
      </c>
      <c r="M13" s="435">
        <f>BG!K7</f>
        <v>46943.988269794718</v>
      </c>
      <c r="N13" s="437">
        <f>(N11/N23)*2-M13</f>
        <v>72443.247039217953</v>
      </c>
      <c r="O13" s="438">
        <f t="shared" ref="O13:R13" si="0">(O11/O23)*2-N13</f>
        <v>56362.005542934625</v>
      </c>
      <c r="P13" s="438">
        <f t="shared" si="0"/>
        <v>71745.8115459978</v>
      </c>
      <c r="Q13" s="438">
        <f t="shared" si="0"/>
        <v>64660.903336140065</v>
      </c>
      <c r="R13" s="439">
        <f t="shared" si="0"/>
        <v>77076.598284529027</v>
      </c>
      <c r="S13" s="1533"/>
      <c r="T13" s="1533"/>
      <c r="U13" s="1533"/>
      <c r="V13" s="1533"/>
      <c r="W13" s="1533"/>
    </row>
    <row r="14" spans="2:23" ht="15">
      <c r="B14" s="258" t="s">
        <v>710</v>
      </c>
      <c r="C14" s="422"/>
      <c r="D14" s="430"/>
      <c r="E14" s="431"/>
      <c r="F14" s="431"/>
      <c r="G14" s="434">
        <f>BG!Q10</f>
        <v>50950.536146662052</v>
      </c>
      <c r="H14" s="435">
        <f>BG!P10</f>
        <v>72917.764328942678</v>
      </c>
      <c r="I14" s="435">
        <f>BG!O10</f>
        <v>79143.121987393402</v>
      </c>
      <c r="J14" s="435">
        <f>BG!N10</f>
        <v>101182.28145825166</v>
      </c>
      <c r="K14" s="435">
        <f>BG!M10</f>
        <v>101047.92560801146</v>
      </c>
      <c r="L14" s="435">
        <f>BG!L10</f>
        <v>83835.785953177256</v>
      </c>
      <c r="M14" s="435">
        <f>BG!K10</f>
        <v>77732.55131964809</v>
      </c>
      <c r="N14" s="437">
        <f>(N12/N27)*2-M14</f>
        <v>100552.38674181084</v>
      </c>
      <c r="O14" s="438">
        <f t="shared" ref="O14:R14" si="1">(O12/O27)*2-N14</f>
        <v>91796.790447537016</v>
      </c>
      <c r="P14" s="438">
        <f t="shared" si="1"/>
        <v>111535.93683601655</v>
      </c>
      <c r="Q14" s="438">
        <f t="shared" si="1"/>
        <v>104968.8010249127</v>
      </c>
      <c r="R14" s="439">
        <f t="shared" si="1"/>
        <v>112740.001464435</v>
      </c>
      <c r="S14" s="601"/>
      <c r="T14" s="601"/>
      <c r="U14" s="601"/>
      <c r="V14" s="601"/>
      <c r="W14" s="601"/>
    </row>
    <row r="15" spans="2:23" ht="15">
      <c r="B15" s="258" t="s">
        <v>711</v>
      </c>
      <c r="C15" s="422"/>
      <c r="D15" s="430"/>
      <c r="E15" s="431"/>
      <c r="F15" s="431"/>
      <c r="G15" s="434">
        <f>BG!Q33</f>
        <v>53518.505707367694</v>
      </c>
      <c r="H15" s="435">
        <f>BG!P33</f>
        <v>81419.366322534712</v>
      </c>
      <c r="I15" s="435">
        <f>BG!O33</f>
        <v>95010.011123470525</v>
      </c>
      <c r="J15" s="435">
        <f>BG!N33</f>
        <v>137299.88239905919</v>
      </c>
      <c r="K15" s="435">
        <f>BG!M33</f>
        <v>224742.8469241774</v>
      </c>
      <c r="L15" s="435">
        <f>BG!L33</f>
        <v>181291.6387959866</v>
      </c>
      <c r="M15" s="435">
        <f>BG!K33</f>
        <v>164121.70087976538</v>
      </c>
      <c r="N15" s="434">
        <f>(N16/N31)*2-M15</f>
        <v>190473.48062382248</v>
      </c>
      <c r="O15" s="435">
        <f t="shared" ref="O15:R15" si="2">(O16/O31)*2-N15</f>
        <v>155122.87172315939</v>
      </c>
      <c r="P15" s="435">
        <f t="shared" si="2"/>
        <v>200587.70976690663</v>
      </c>
      <c r="Q15" s="435">
        <f t="shared" si="2"/>
        <v>172663.27051128726</v>
      </c>
      <c r="R15" s="436">
        <f t="shared" si="2"/>
        <v>190771.86369757593</v>
      </c>
    </row>
    <row r="16" spans="2:23" ht="15">
      <c r="B16" s="260" t="s">
        <v>712</v>
      </c>
      <c r="C16" s="440"/>
      <c r="D16" s="441"/>
      <c r="E16" s="442"/>
      <c r="F16" s="442"/>
      <c r="G16" s="443"/>
      <c r="H16" s="444">
        <f>H12+H14-G14</f>
        <v>407465.27019011253</v>
      </c>
      <c r="I16" s="444">
        <f t="shared" ref="I16:R16" si="3">I12+I14-H14</f>
        <v>477360.69321647816</v>
      </c>
      <c r="J16" s="444">
        <f t="shared" si="3"/>
        <v>568585.21983934112</v>
      </c>
      <c r="K16" s="444">
        <f t="shared" si="3"/>
        <v>506184.31367765681</v>
      </c>
      <c r="L16" s="444">
        <f t="shared" si="3"/>
        <v>482441.70649901195</v>
      </c>
      <c r="M16" s="444">
        <f>M12+M14-L14</f>
        <v>449260.10847497522</v>
      </c>
      <c r="N16" s="443">
        <f>N12+N14-M14</f>
        <v>539280.17187003989</v>
      </c>
      <c r="O16" s="444">
        <f t="shared" si="3"/>
        <v>548446.38524629734</v>
      </c>
      <c r="P16" s="444">
        <f t="shared" si="3"/>
        <v>618258.86782797193</v>
      </c>
      <c r="Q16" s="444">
        <f t="shared" si="3"/>
        <v>630725.03611824429</v>
      </c>
      <c r="R16" s="445">
        <f t="shared" si="3"/>
        <v>669968.80801128817</v>
      </c>
    </row>
    <row r="17" spans="2:23" ht="15">
      <c r="B17" s="446" t="s">
        <v>1401</v>
      </c>
      <c r="C17" s="447"/>
      <c r="D17" s="448"/>
      <c r="E17" s="448"/>
      <c r="F17" s="448"/>
      <c r="G17" s="449">
        <f>IFERROR(G14/G11,0)</f>
        <v>0.10309354834194209</v>
      </c>
      <c r="H17" s="449">
        <f t="shared" ref="H17:M17" si="4">IFERROR(H14/H11,0)</f>
        <v>0.13317261023543461</v>
      </c>
      <c r="I17" s="449">
        <f t="shared" si="4"/>
        <v>0.12074191147022421</v>
      </c>
      <c r="J17" s="449">
        <f t="shared" si="4"/>
        <v>0.12584560223455951</v>
      </c>
      <c r="K17" s="449">
        <f t="shared" si="4"/>
        <v>0.13352003674837382</v>
      </c>
      <c r="L17" s="449">
        <f t="shared" si="4"/>
        <v>0.11246698369498162</v>
      </c>
      <c r="M17" s="449">
        <f t="shared" si="4"/>
        <v>0.10825973219737427</v>
      </c>
      <c r="N17" s="450"/>
      <c r="O17" s="449"/>
      <c r="P17" s="449"/>
      <c r="Q17" s="449"/>
      <c r="R17" s="451"/>
    </row>
    <row r="18" spans="2:23">
      <c r="G18" s="415"/>
      <c r="H18" s="415"/>
      <c r="I18" s="415"/>
      <c r="J18" s="415"/>
      <c r="K18" s="415"/>
      <c r="L18" s="415"/>
      <c r="M18" s="415"/>
      <c r="N18" s="415">
        <f>N14/N11</f>
        <v>0.12460497539340801</v>
      </c>
      <c r="O18" s="415">
        <f t="shared" ref="O18:R18" si="5">O14/O11</f>
        <v>0.10543743172626527</v>
      </c>
      <c r="P18" s="415">
        <f t="shared" si="5"/>
        <v>0.11926591057579229</v>
      </c>
      <c r="Q18" s="415">
        <f t="shared" si="5"/>
        <v>0.10541480911739785</v>
      </c>
      <c r="R18" s="415">
        <f t="shared" si="5"/>
        <v>0.10896082998822784</v>
      </c>
    </row>
    <row r="19" spans="2:23" ht="15">
      <c r="B19" s="90"/>
      <c r="C19" s="90"/>
      <c r="G19" s="1614" t="s">
        <v>713</v>
      </c>
      <c r="H19" s="1615"/>
      <c r="I19" s="1615"/>
      <c r="J19" s="1615"/>
      <c r="K19" s="1615"/>
      <c r="L19" s="1615"/>
      <c r="M19" s="1615"/>
      <c r="N19" s="1614" t="s">
        <v>714</v>
      </c>
      <c r="O19" s="1615"/>
      <c r="P19" s="1615"/>
      <c r="Q19" s="1615"/>
      <c r="R19" s="1616"/>
    </row>
    <row r="20" spans="2:23">
      <c r="B20" s="1739" t="s">
        <v>713</v>
      </c>
      <c r="C20" s="1740"/>
      <c r="D20" s="1743" t="s">
        <v>715</v>
      </c>
      <c r="E20" s="1743"/>
      <c r="F20" s="1743"/>
      <c r="G20" s="1745" t="s">
        <v>716</v>
      </c>
      <c r="H20" s="1747">
        <v>2010</v>
      </c>
      <c r="I20" s="1747">
        <v>2011</v>
      </c>
      <c r="J20" s="1747">
        <v>2012</v>
      </c>
      <c r="K20" s="1747">
        <v>2013</v>
      </c>
      <c r="L20" s="1747">
        <v>2014</v>
      </c>
      <c r="M20" s="1739">
        <v>2015</v>
      </c>
      <c r="N20" s="1737">
        <v>2016</v>
      </c>
      <c r="O20" s="1737">
        <v>2017</v>
      </c>
      <c r="P20" s="1737">
        <v>2018</v>
      </c>
      <c r="Q20" s="1737">
        <v>2019</v>
      </c>
      <c r="R20" s="1737">
        <v>2020</v>
      </c>
    </row>
    <row r="21" spans="2:23">
      <c r="B21" s="1741"/>
      <c r="C21" s="1742"/>
      <c r="D21" s="1744"/>
      <c r="E21" s="1744"/>
      <c r="F21" s="1744"/>
      <c r="G21" s="1746"/>
      <c r="H21" s="1748"/>
      <c r="I21" s="1748"/>
      <c r="J21" s="1748"/>
      <c r="K21" s="1748"/>
      <c r="L21" s="1748"/>
      <c r="M21" s="1741"/>
      <c r="N21" s="1738"/>
      <c r="O21" s="1738"/>
      <c r="P21" s="1738"/>
      <c r="Q21" s="1738"/>
      <c r="R21" s="1738"/>
    </row>
    <row r="22" spans="2:23" ht="15">
      <c r="B22" s="1704" t="s">
        <v>717</v>
      </c>
      <c r="C22" s="1705"/>
      <c r="D22" s="1718" t="s">
        <v>718</v>
      </c>
      <c r="E22" s="1719"/>
      <c r="F22" s="1720"/>
      <c r="G22" s="452"/>
      <c r="H22" s="178"/>
      <c r="I22" s="178"/>
      <c r="J22" s="178"/>
      <c r="K22" s="453"/>
      <c r="L22" s="454"/>
      <c r="M22" s="455"/>
      <c r="N22" s="456"/>
      <c r="O22" s="456"/>
      <c r="P22" s="456"/>
      <c r="Q22" s="456"/>
      <c r="R22" s="456"/>
      <c r="S22" s="457"/>
      <c r="T22" s="457"/>
      <c r="U22" s="457"/>
      <c r="V22" s="457"/>
      <c r="W22" s="457"/>
    </row>
    <row r="23" spans="2:23" ht="15.75">
      <c r="B23" s="1693" t="s">
        <v>719</v>
      </c>
      <c r="C23" s="1721"/>
      <c r="D23" s="1722" t="s">
        <v>720</v>
      </c>
      <c r="E23" s="1723"/>
      <c r="F23" s="1724"/>
      <c r="G23" s="458">
        <f>AVERAGE(H23:M23)</f>
        <v>13.56345150326031</v>
      </c>
      <c r="H23" s="459">
        <f t="shared" ref="H23:M23" si="6">H11/((H13+G13)/2)</f>
        <v>18.480465822983845</v>
      </c>
      <c r="I23" s="459">
        <f t="shared" si="6"/>
        <v>14.394063043397441</v>
      </c>
      <c r="J23" s="459">
        <f t="shared" si="6"/>
        <v>13.906249464966216</v>
      </c>
      <c r="K23" s="459">
        <f t="shared" si="6"/>
        <v>11.962321063912679</v>
      </c>
      <c r="L23" s="460">
        <f t="shared" si="6"/>
        <v>10.632533067213451</v>
      </c>
      <c r="M23" s="461">
        <f t="shared" si="6"/>
        <v>12.005076557088247</v>
      </c>
      <c r="N23" s="461">
        <f>365/N25</f>
        <v>13.518518518518519</v>
      </c>
      <c r="O23" s="461">
        <f t="shared" ref="O23:R23" si="7">365/O25</f>
        <v>13.518518518518519</v>
      </c>
      <c r="P23" s="461">
        <f t="shared" si="7"/>
        <v>14.6</v>
      </c>
      <c r="Q23" s="461">
        <f t="shared" si="7"/>
        <v>14.6</v>
      </c>
      <c r="R23" s="460">
        <f t="shared" si="7"/>
        <v>14.6</v>
      </c>
      <c r="S23" s="482"/>
      <c r="T23" s="462"/>
      <c r="U23" s="462"/>
      <c r="V23" s="462"/>
      <c r="W23" s="462"/>
    </row>
    <row r="24" spans="2:23" ht="15.75">
      <c r="B24" s="1729" t="s">
        <v>721</v>
      </c>
      <c r="C24" s="1730"/>
      <c r="D24" s="1726" t="s">
        <v>720</v>
      </c>
      <c r="E24" s="1727"/>
      <c r="F24" s="1728"/>
      <c r="G24" s="463"/>
      <c r="H24" s="464"/>
      <c r="I24" s="464"/>
      <c r="J24" s="464"/>
      <c r="K24" s="465"/>
      <c r="L24" s="466"/>
      <c r="M24" s="467"/>
      <c r="N24" s="467"/>
      <c r="O24" s="467"/>
      <c r="P24" s="467"/>
      <c r="Q24" s="467"/>
      <c r="R24" s="468"/>
      <c r="S24" s="421"/>
      <c r="T24" s="457"/>
      <c r="U24" s="457"/>
      <c r="V24" s="457"/>
      <c r="W24" s="457"/>
    </row>
    <row r="25" spans="2:23" ht="15.75">
      <c r="B25" s="1697" t="s">
        <v>722</v>
      </c>
      <c r="C25" s="1712"/>
      <c r="D25" s="1734" t="s">
        <v>723</v>
      </c>
      <c r="E25" s="1735"/>
      <c r="F25" s="1736"/>
      <c r="G25" s="469">
        <f t="shared" ref="G25:L25" si="8">365/G23</f>
        <v>26.910554434633635</v>
      </c>
      <c r="H25" s="470">
        <f t="shared" si="8"/>
        <v>19.75058440064079</v>
      </c>
      <c r="I25" s="470">
        <f t="shared" si="8"/>
        <v>25.35767690467533</v>
      </c>
      <c r="J25" s="471">
        <f t="shared" si="8"/>
        <v>26.247192021079332</v>
      </c>
      <c r="K25" s="471">
        <f t="shared" si="8"/>
        <v>30.512473127068411</v>
      </c>
      <c r="L25" s="471">
        <f t="shared" si="8"/>
        <v>34.328602384084412</v>
      </c>
      <c r="M25" s="472">
        <f>IFERROR(365/M23,0)</f>
        <v>30.403804445919199</v>
      </c>
      <c r="N25" s="472">
        <v>27</v>
      </c>
      <c r="O25" s="472">
        <f>N25</f>
        <v>27</v>
      </c>
      <c r="P25" s="472">
        <v>25</v>
      </c>
      <c r="Q25" s="472">
        <f t="shared" ref="Q25" si="9">P25</f>
        <v>25</v>
      </c>
      <c r="R25" s="471">
        <v>25</v>
      </c>
      <c r="S25" s="1380"/>
      <c r="T25" s="473"/>
      <c r="U25" s="473"/>
      <c r="V25" s="457"/>
      <c r="W25" s="457"/>
    </row>
    <row r="26" spans="2:23" ht="15.75">
      <c r="B26" s="1704" t="s">
        <v>724</v>
      </c>
      <c r="C26" s="1705"/>
      <c r="D26" s="1718" t="s">
        <v>725</v>
      </c>
      <c r="E26" s="1719"/>
      <c r="F26" s="1720"/>
      <c r="G26" s="474"/>
      <c r="H26" s="475"/>
      <c r="I26" s="475"/>
      <c r="J26" s="475"/>
      <c r="K26" s="476"/>
      <c r="L26" s="477"/>
      <c r="M26" s="478"/>
      <c r="N26" s="478"/>
      <c r="O26" s="478"/>
      <c r="P26" s="478"/>
      <c r="Q26" s="478"/>
      <c r="R26" s="477"/>
      <c r="S26" s="473"/>
      <c r="T26" s="473"/>
      <c r="U26" s="473"/>
      <c r="V26" s="457"/>
      <c r="W26" s="457"/>
    </row>
    <row r="27" spans="2:23" ht="15.75">
      <c r="B27" s="1693" t="s">
        <v>726</v>
      </c>
      <c r="C27" s="1721"/>
      <c r="D27" s="1722" t="s">
        <v>727</v>
      </c>
      <c r="E27" s="1723"/>
      <c r="F27" s="1724"/>
      <c r="G27" s="458">
        <f>AVERAGE(H27:M27)</f>
        <v>5.7553272260273367</v>
      </c>
      <c r="H27" s="459">
        <f t="shared" ref="H27:M27" si="10">H12/((H14+G14)/2)</f>
        <v>6.2243211625197663</v>
      </c>
      <c r="I27" s="459">
        <f t="shared" si="10"/>
        <v>6.1966669663875669</v>
      </c>
      <c r="J27" s="459">
        <f t="shared" si="10"/>
        <v>6.0617755449328756</v>
      </c>
      <c r="K27" s="459">
        <f t="shared" si="10"/>
        <v>5.0073495633814558</v>
      </c>
      <c r="L27" s="460">
        <f t="shared" si="10"/>
        <v>5.4050607480203228</v>
      </c>
      <c r="M27" s="461">
        <f t="shared" si="10"/>
        <v>5.6367893709220365</v>
      </c>
      <c r="N27" s="461">
        <f>365/N29</f>
        <v>5.7936507936507935</v>
      </c>
      <c r="O27" s="461">
        <f t="shared" ref="O27:R27" si="11">365/O29</f>
        <v>5.7936507936507935</v>
      </c>
      <c r="P27" s="461">
        <f t="shared" si="11"/>
        <v>5.887096774193548</v>
      </c>
      <c r="Q27" s="461">
        <f t="shared" si="11"/>
        <v>5.887096774193548</v>
      </c>
      <c r="R27" s="460">
        <f t="shared" si="11"/>
        <v>6.083333333333333</v>
      </c>
      <c r="S27" s="462"/>
      <c r="T27" s="462"/>
      <c r="U27" s="462"/>
      <c r="V27" s="457"/>
      <c r="W27" s="457"/>
    </row>
    <row r="28" spans="2:23" ht="15.75">
      <c r="B28" s="1729" t="s">
        <v>728</v>
      </c>
      <c r="C28" s="1730"/>
      <c r="D28" s="1726" t="s">
        <v>727</v>
      </c>
      <c r="E28" s="1727"/>
      <c r="F28" s="1728"/>
      <c r="G28" s="463"/>
      <c r="H28" s="464"/>
      <c r="I28" s="464"/>
      <c r="J28" s="464"/>
      <c r="K28" s="465"/>
      <c r="L28" s="466"/>
      <c r="M28" s="479"/>
      <c r="N28" s="479"/>
      <c r="O28" s="479"/>
      <c r="P28" s="479"/>
      <c r="Q28" s="479"/>
      <c r="R28" s="466"/>
      <c r="S28" s="480"/>
      <c r="T28" s="480"/>
      <c r="U28" s="480"/>
      <c r="V28" s="457"/>
      <c r="W28" s="457"/>
    </row>
    <row r="29" spans="2:23" ht="15.75">
      <c r="B29" s="1697" t="s">
        <v>729</v>
      </c>
      <c r="C29" s="1712"/>
      <c r="D29" s="1734" t="s">
        <v>730</v>
      </c>
      <c r="E29" s="1735"/>
      <c r="F29" s="1736"/>
      <c r="G29" s="469">
        <f>365/G27</f>
        <v>63.419504341883325</v>
      </c>
      <c r="H29" s="471">
        <f t="shared" ref="H29:L29" si="12">365/H27</f>
        <v>58.640932957938588</v>
      </c>
      <c r="I29" s="471">
        <f t="shared" si="12"/>
        <v>58.902632976705192</v>
      </c>
      <c r="J29" s="471">
        <f t="shared" si="12"/>
        <v>60.213380930131713</v>
      </c>
      <c r="K29" s="471">
        <f t="shared" si="12"/>
        <v>72.892853870085318</v>
      </c>
      <c r="L29" s="471">
        <f t="shared" si="12"/>
        <v>67.529305777679966</v>
      </c>
      <c r="M29" s="472">
        <f>IFERROR(365/M27,0)</f>
        <v>64.753173479018116</v>
      </c>
      <c r="N29" s="472">
        <v>63</v>
      </c>
      <c r="O29" s="472">
        <f>N29</f>
        <v>63</v>
      </c>
      <c r="P29" s="472">
        <v>62</v>
      </c>
      <c r="Q29" s="472">
        <f t="shared" ref="Q29" si="13">P29</f>
        <v>62</v>
      </c>
      <c r="R29" s="471">
        <v>60</v>
      </c>
      <c r="S29" s="481"/>
      <c r="T29" s="481"/>
      <c r="U29" s="481"/>
      <c r="V29" s="457"/>
      <c r="W29" s="457"/>
    </row>
    <row r="30" spans="2:23" ht="15.75">
      <c r="B30" s="1716" t="s">
        <v>731</v>
      </c>
      <c r="C30" s="1717"/>
      <c r="D30" s="1718" t="s">
        <v>732</v>
      </c>
      <c r="E30" s="1719"/>
      <c r="F30" s="1720"/>
      <c r="G30" s="474"/>
      <c r="H30" s="475"/>
      <c r="I30" s="475"/>
      <c r="J30" s="475"/>
      <c r="K30" s="476"/>
      <c r="L30" s="477"/>
      <c r="M30" s="482"/>
      <c r="N30" s="482"/>
      <c r="O30" s="482"/>
      <c r="P30" s="482"/>
      <c r="Q30" s="482"/>
      <c r="R30" s="476"/>
      <c r="S30" s="473"/>
      <c r="T30" s="473"/>
      <c r="U30" s="473"/>
      <c r="V30" s="457"/>
      <c r="W30" s="457"/>
    </row>
    <row r="31" spans="2:23" ht="15.75">
      <c r="B31" s="1693" t="s">
        <v>733</v>
      </c>
      <c r="C31" s="1721"/>
      <c r="D31" s="1722" t="s">
        <v>734</v>
      </c>
      <c r="E31" s="1723"/>
      <c r="F31" s="1724"/>
      <c r="G31" s="458">
        <f>AVERAGE(H31:M31)</f>
        <v>4.0199380104180049</v>
      </c>
      <c r="H31" s="459">
        <f t="shared" ref="H31:M31" si="14">H16/((H15+G15)/2)</f>
        <v>6.0393018514449031</v>
      </c>
      <c r="I31" s="459">
        <f t="shared" si="14"/>
        <v>5.4113515575099784</v>
      </c>
      <c r="J31" s="459">
        <f t="shared" si="14"/>
        <v>4.8950581588915325</v>
      </c>
      <c r="K31" s="459">
        <f t="shared" si="14"/>
        <v>2.7962683555273316</v>
      </c>
      <c r="L31" s="460">
        <f t="shared" si="14"/>
        <v>2.3763582821953069</v>
      </c>
      <c r="M31" s="461">
        <f t="shared" si="14"/>
        <v>2.6012898569389749</v>
      </c>
      <c r="N31" s="461">
        <f>365/N33</f>
        <v>3.0416666666666665</v>
      </c>
      <c r="O31" s="461">
        <f t="shared" ref="O31:R31" si="15">365/O33</f>
        <v>3.1739130434782608</v>
      </c>
      <c r="P31" s="461">
        <f t="shared" si="15"/>
        <v>3.4761904761904763</v>
      </c>
      <c r="Q31" s="461">
        <f t="shared" si="15"/>
        <v>3.3796296296296298</v>
      </c>
      <c r="R31" s="460">
        <f t="shared" si="15"/>
        <v>3.6868686868686869</v>
      </c>
      <c r="S31" s="462"/>
      <c r="T31" s="462"/>
      <c r="U31" s="462"/>
      <c r="V31" s="462"/>
      <c r="W31" s="462"/>
    </row>
    <row r="32" spans="2:23" ht="15.75">
      <c r="B32" s="1695" t="s">
        <v>735</v>
      </c>
      <c r="C32" s="1725"/>
      <c r="D32" s="1726">
        <v>365</v>
      </c>
      <c r="E32" s="1727"/>
      <c r="F32" s="1728"/>
      <c r="G32" s="463"/>
      <c r="H32" s="464"/>
      <c r="I32" s="464"/>
      <c r="J32" s="464"/>
      <c r="K32" s="465"/>
      <c r="L32" s="466"/>
      <c r="M32" s="483"/>
      <c r="N32" s="483"/>
      <c r="O32" s="479"/>
      <c r="P32" s="479"/>
      <c r="Q32" s="479"/>
      <c r="R32" s="466"/>
      <c r="S32" s="457"/>
      <c r="T32" s="457"/>
      <c r="U32" s="457"/>
      <c r="V32" s="457"/>
      <c r="W32" s="457"/>
    </row>
    <row r="33" spans="2:23" ht="15.75">
      <c r="B33" s="1697" t="s">
        <v>736</v>
      </c>
      <c r="C33" s="1712"/>
      <c r="D33" s="1713" t="s">
        <v>731</v>
      </c>
      <c r="E33" s="1714"/>
      <c r="F33" s="1715"/>
      <c r="G33" s="484">
        <f>AVERAGE(H33:M33)</f>
        <v>104.48262115467445</v>
      </c>
      <c r="H33" s="471">
        <f>365/H31</f>
        <v>60.437449390391663</v>
      </c>
      <c r="I33" s="471">
        <f t="shared" ref="I33:M33" si="16">365/I31</f>
        <v>67.45080154577019</v>
      </c>
      <c r="J33" s="471">
        <f t="shared" si="16"/>
        <v>74.564997626637577</v>
      </c>
      <c r="K33" s="471">
        <f t="shared" si="16"/>
        <v>130.53110559954351</v>
      </c>
      <c r="L33" s="471">
        <f t="shared" si="16"/>
        <v>153.59636749001032</v>
      </c>
      <c r="M33" s="472">
        <f t="shared" si="16"/>
        <v>140.31500527569341</v>
      </c>
      <c r="N33" s="485">
        <v>120</v>
      </c>
      <c r="O33" s="485">
        <v>115</v>
      </c>
      <c r="P33" s="485">
        <v>105</v>
      </c>
      <c r="Q33" s="485">
        <v>108</v>
      </c>
      <c r="R33" s="1382">
        <v>99</v>
      </c>
      <c r="S33" s="486"/>
      <c r="T33" s="486"/>
      <c r="U33" s="486"/>
      <c r="V33" s="486"/>
      <c r="W33" s="486"/>
    </row>
    <row r="34" spans="2:23" ht="15.75">
      <c r="B34" s="1704" t="s">
        <v>737</v>
      </c>
      <c r="C34" s="1705"/>
      <c r="D34" s="18" t="s">
        <v>738</v>
      </c>
      <c r="E34" s="19"/>
      <c r="F34" s="20"/>
      <c r="G34" s="474"/>
      <c r="H34" s="475"/>
      <c r="I34" s="475"/>
      <c r="J34" s="475"/>
      <c r="K34" s="476"/>
      <c r="L34" s="477"/>
      <c r="M34" s="482"/>
      <c r="N34" s="482"/>
      <c r="O34" s="482"/>
      <c r="P34" s="482"/>
      <c r="Q34" s="482"/>
      <c r="R34" s="476"/>
      <c r="S34" s="486"/>
      <c r="T34" s="457"/>
      <c r="U34" s="457"/>
      <c r="V34" s="457"/>
      <c r="W34" s="457"/>
    </row>
    <row r="35" spans="2:23" ht="15.75">
      <c r="B35" s="83"/>
      <c r="C35" s="84"/>
      <c r="D35" s="21" t="s">
        <v>728</v>
      </c>
      <c r="E35" s="22"/>
      <c r="F35" s="23"/>
      <c r="G35" s="458">
        <f>G25+G29</f>
        <v>90.330058776516964</v>
      </c>
      <c r="H35" s="459">
        <f>H25+H29</f>
        <v>78.391517358579378</v>
      </c>
      <c r="I35" s="459">
        <f t="shared" ref="I35:L35" si="17">I25+I29</f>
        <v>84.260309881380522</v>
      </c>
      <c r="J35" s="459">
        <f t="shared" si="17"/>
        <v>86.460572951211049</v>
      </c>
      <c r="K35" s="459">
        <f t="shared" si="17"/>
        <v>103.40532699715374</v>
      </c>
      <c r="L35" s="460">
        <f t="shared" si="17"/>
        <v>101.85790816176439</v>
      </c>
      <c r="M35" s="461">
        <f>M25+M29</f>
        <v>95.156977924937308</v>
      </c>
      <c r="N35" s="461">
        <f t="shared" ref="N35:R35" si="18">N25+N29</f>
        <v>90</v>
      </c>
      <c r="O35" s="461">
        <f t="shared" si="18"/>
        <v>90</v>
      </c>
      <c r="P35" s="461">
        <f t="shared" si="18"/>
        <v>87</v>
      </c>
      <c r="Q35" s="461">
        <f t="shared" si="18"/>
        <v>87</v>
      </c>
      <c r="R35" s="460">
        <f t="shared" si="18"/>
        <v>85</v>
      </c>
      <c r="S35" s="457"/>
      <c r="T35" s="457"/>
      <c r="U35" s="457"/>
      <c r="V35" s="457"/>
      <c r="W35" s="457"/>
    </row>
    <row r="36" spans="2:23" ht="15.75">
      <c r="B36" s="1695" t="s">
        <v>739</v>
      </c>
      <c r="C36" s="1725"/>
      <c r="D36" s="1731" t="s">
        <v>740</v>
      </c>
      <c r="E36" s="1732"/>
      <c r="F36" s="1733"/>
      <c r="G36" s="463"/>
      <c r="H36" s="464"/>
      <c r="I36" s="464"/>
      <c r="J36" s="464"/>
      <c r="K36" s="465"/>
      <c r="L36" s="465"/>
      <c r="M36" s="483"/>
      <c r="N36" s="483"/>
      <c r="O36" s="483"/>
      <c r="P36" s="483"/>
      <c r="Q36" s="483"/>
      <c r="R36" s="465"/>
    </row>
    <row r="37" spans="2:23" ht="15.75">
      <c r="B37" s="1697"/>
      <c r="C37" s="1712"/>
      <c r="D37" s="1713"/>
      <c r="E37" s="1714"/>
      <c r="F37" s="1715"/>
      <c r="G37" s="487">
        <f t="shared" ref="G37:M37" si="19">G35-G33</f>
        <v>-14.152562378157484</v>
      </c>
      <c r="H37" s="471">
        <f t="shared" si="19"/>
        <v>17.954067968187715</v>
      </c>
      <c r="I37" s="471">
        <f t="shared" si="19"/>
        <v>16.809508335610332</v>
      </c>
      <c r="J37" s="471">
        <f t="shared" si="19"/>
        <v>11.895575324573471</v>
      </c>
      <c r="K37" s="471">
        <f t="shared" si="19"/>
        <v>-27.125778602389772</v>
      </c>
      <c r="L37" s="471">
        <f t="shared" si="19"/>
        <v>-51.738459328245938</v>
      </c>
      <c r="M37" s="472">
        <f t="shared" si="19"/>
        <v>-45.1580273507561</v>
      </c>
      <c r="N37" s="472">
        <f t="shared" ref="N37:R37" si="20">N35-N33</f>
        <v>-30</v>
      </c>
      <c r="O37" s="472">
        <f t="shared" si="20"/>
        <v>-25</v>
      </c>
      <c r="P37" s="472">
        <f t="shared" si="20"/>
        <v>-18</v>
      </c>
      <c r="Q37" s="472">
        <f t="shared" si="20"/>
        <v>-21</v>
      </c>
      <c r="R37" s="471">
        <f t="shared" si="20"/>
        <v>-14</v>
      </c>
    </row>
    <row r="38" spans="2:23" ht="15">
      <c r="B38" s="1704" t="s">
        <v>741</v>
      </c>
      <c r="C38" s="1705"/>
      <c r="D38" s="18" t="s">
        <v>742</v>
      </c>
      <c r="E38" s="19"/>
      <c r="F38" s="20"/>
      <c r="G38" s="488"/>
      <c r="H38" s="489">
        <f>H13+H14-H15</f>
        <v>25929.512281950854</v>
      </c>
      <c r="I38" s="489">
        <f t="shared" ref="I38:M38" si="21">I13+I14-I15</f>
        <v>40777.530589543952</v>
      </c>
      <c r="J38" s="489">
        <f t="shared" si="21"/>
        <v>22872.20697765582</v>
      </c>
      <c r="K38" s="489">
        <f t="shared" si="21"/>
        <v>-56154.148783977114</v>
      </c>
      <c r="L38" s="489">
        <f t="shared" si="21"/>
        <v>-24780.602006688947</v>
      </c>
      <c r="M38" s="490">
        <f t="shared" si="21"/>
        <v>-39445.161290322576</v>
      </c>
      <c r="N38" s="490">
        <f t="shared" ref="N38:R38" si="22">N13+N14-N15</f>
        <v>-17477.84684279369</v>
      </c>
      <c r="O38" s="490">
        <f t="shared" si="22"/>
        <v>-6964.0757326877501</v>
      </c>
      <c r="P38" s="490">
        <f t="shared" si="22"/>
        <v>-17305.961384892289</v>
      </c>
      <c r="Q38" s="490">
        <f t="shared" si="22"/>
        <v>-3033.5661502344883</v>
      </c>
      <c r="R38" s="489">
        <f t="shared" si="22"/>
        <v>-955.26394861191511</v>
      </c>
    </row>
    <row r="39" spans="2:23">
      <c r="B39" s="1691" t="s">
        <v>743</v>
      </c>
      <c r="C39" s="1706"/>
      <c r="D39" s="24"/>
      <c r="E39" s="25"/>
      <c r="F39" s="26"/>
      <c r="G39" s="491"/>
      <c r="H39" s="173"/>
      <c r="I39" s="173"/>
      <c r="J39" s="173"/>
      <c r="K39" s="173"/>
      <c r="L39" s="492"/>
      <c r="M39" s="170"/>
      <c r="N39" s="492"/>
      <c r="O39" s="492"/>
      <c r="P39" s="492"/>
      <c r="Q39" s="492"/>
      <c r="R39" s="492"/>
    </row>
    <row r="40" spans="2:23">
      <c r="B40" s="1707" t="s">
        <v>744</v>
      </c>
      <c r="C40" s="1708"/>
      <c r="D40" s="52"/>
      <c r="E40" s="53"/>
      <c r="F40" s="54"/>
      <c r="G40" s="493"/>
      <c r="H40" s="489"/>
      <c r="I40" s="489"/>
      <c r="J40" s="489"/>
      <c r="K40" s="489"/>
      <c r="L40" s="489"/>
      <c r="M40" s="490"/>
      <c r="N40" s="490"/>
      <c r="O40" s="490"/>
      <c r="P40" s="490"/>
      <c r="Q40" s="490"/>
      <c r="R40" s="489"/>
      <c r="S40" s="494"/>
      <c r="T40" s="494"/>
      <c r="U40" s="494"/>
      <c r="V40" s="494"/>
    </row>
    <row r="41" spans="2:23">
      <c r="B41" s="1709"/>
      <c r="C41" s="1710"/>
      <c r="D41" s="24"/>
      <c r="E41" s="25"/>
      <c r="F41" s="26"/>
      <c r="G41" s="491"/>
      <c r="H41" s="173"/>
      <c r="I41" s="181">
        <f>I38-H38</f>
        <v>14848.018307593098</v>
      </c>
      <c r="J41" s="181">
        <f>J38-I38</f>
        <v>-17905.323611888132</v>
      </c>
      <c r="K41" s="181">
        <f t="shared" ref="K41:M41" si="23">K38-J38</f>
        <v>-79026.355761632934</v>
      </c>
      <c r="L41" s="181">
        <f t="shared" si="23"/>
        <v>31373.546777288168</v>
      </c>
      <c r="M41" s="181">
        <f t="shared" si="23"/>
        <v>-14664.559283633629</v>
      </c>
      <c r="N41" s="181">
        <f t="shared" ref="N41" si="24">N38-M38</f>
        <v>21967.314447528886</v>
      </c>
      <c r="O41" s="181">
        <f t="shared" ref="O41" si="25">O38-N38</f>
        <v>10513.771110105939</v>
      </c>
      <c r="P41" s="181">
        <f t="shared" ref="P41" si="26">P38-O38</f>
        <v>-10341.885652204539</v>
      </c>
      <c r="Q41" s="181">
        <f t="shared" ref="Q41" si="27">Q38-P38</f>
        <v>14272.395234657801</v>
      </c>
      <c r="R41" s="181">
        <f t="shared" ref="R41" si="28">R38-Q38</f>
        <v>2078.3022016225732</v>
      </c>
      <c r="S41" s="494"/>
      <c r="T41" s="494"/>
      <c r="U41" s="494"/>
      <c r="V41" s="494"/>
    </row>
    <row r="42" spans="2:23" ht="15" thickBot="1">
      <c r="H42" s="416"/>
      <c r="I42" s="416"/>
    </row>
    <row r="43" spans="2:23" ht="15.75" thickBot="1">
      <c r="M43" s="495"/>
      <c r="N43" s="1701" t="s">
        <v>745</v>
      </c>
      <c r="O43" s="1702"/>
      <c r="P43" s="1702"/>
      <c r="Q43" s="1702"/>
      <c r="R43" s="1703"/>
      <c r="S43" s="496" t="s">
        <v>746</v>
      </c>
    </row>
    <row r="44" spans="2:23">
      <c r="K44" s="1689" t="s">
        <v>717</v>
      </c>
      <c r="L44" s="1690"/>
      <c r="M44" s="1690"/>
      <c r="N44" s="497"/>
      <c r="O44" s="453"/>
      <c r="P44" s="453"/>
      <c r="Q44" s="453"/>
      <c r="R44" s="453"/>
      <c r="S44" s="498"/>
    </row>
    <row r="45" spans="2:23">
      <c r="K45" s="1693" t="s">
        <v>719</v>
      </c>
      <c r="L45" s="1694"/>
      <c r="M45" s="1694"/>
      <c r="N45" s="499">
        <f>IFERROR(N11/((N13+M13)/2),0)</f>
        <v>13.518518518518519</v>
      </c>
      <c r="O45" s="492">
        <f t="shared" ref="O45:R45" si="29">IFERROR(O11/((O13+N13)/2),0)</f>
        <v>13.518518518518519</v>
      </c>
      <c r="P45" s="492">
        <f t="shared" si="29"/>
        <v>14.6</v>
      </c>
      <c r="Q45" s="492">
        <f t="shared" si="29"/>
        <v>14.6</v>
      </c>
      <c r="R45" s="492">
        <f t="shared" si="29"/>
        <v>14.599999999999998</v>
      </c>
      <c r="S45" s="491"/>
    </row>
    <row r="46" spans="2:23">
      <c r="K46" s="1695" t="s">
        <v>721</v>
      </c>
      <c r="L46" s="1696"/>
      <c r="M46" s="1696"/>
      <c r="N46" s="500"/>
      <c r="O46" s="501"/>
      <c r="P46" s="501"/>
      <c r="Q46" s="501"/>
      <c r="R46" s="501"/>
      <c r="S46" s="502"/>
    </row>
    <row r="47" spans="2:23">
      <c r="K47" s="1697" t="s">
        <v>722</v>
      </c>
      <c r="L47" s="1698"/>
      <c r="M47" s="1698"/>
      <c r="N47" s="503">
        <f t="shared" ref="N47:R47" si="30">365/N23</f>
        <v>27</v>
      </c>
      <c r="O47" s="504">
        <f t="shared" si="30"/>
        <v>27</v>
      </c>
      <c r="P47" s="504">
        <f t="shared" si="30"/>
        <v>25</v>
      </c>
      <c r="Q47" s="504">
        <f t="shared" si="30"/>
        <v>25</v>
      </c>
      <c r="R47" s="504">
        <f t="shared" si="30"/>
        <v>25</v>
      </c>
      <c r="S47" s="505">
        <f>AVERAGE(N47:R47)</f>
        <v>25.8</v>
      </c>
    </row>
    <row r="48" spans="2:23">
      <c r="K48" s="1689" t="s">
        <v>724</v>
      </c>
      <c r="L48" s="1690"/>
      <c r="M48" s="1690"/>
      <c r="N48" s="506"/>
      <c r="O48" s="507"/>
      <c r="P48" s="507"/>
      <c r="Q48" s="507"/>
      <c r="R48" s="507"/>
      <c r="S48" s="508"/>
    </row>
    <row r="49" spans="3:19">
      <c r="K49" s="1693" t="s">
        <v>726</v>
      </c>
      <c r="L49" s="1694"/>
      <c r="M49" s="1694"/>
      <c r="N49" s="499">
        <f>IFERROR(N12/((N14+M14)/2),0)</f>
        <v>5.7936507936507935</v>
      </c>
      <c r="O49" s="492">
        <f t="shared" ref="O49:R49" si="31">IFERROR(O12/((O14+N14)/2),0)</f>
        <v>5.7936507936507935</v>
      </c>
      <c r="P49" s="492">
        <f t="shared" si="31"/>
        <v>5.887096774193548</v>
      </c>
      <c r="Q49" s="492">
        <f t="shared" si="31"/>
        <v>5.887096774193548</v>
      </c>
      <c r="R49" s="492">
        <f t="shared" si="31"/>
        <v>6.083333333333333</v>
      </c>
      <c r="S49" s="509"/>
    </row>
    <row r="50" spans="3:19">
      <c r="K50" s="1695" t="s">
        <v>728</v>
      </c>
      <c r="L50" s="1696"/>
      <c r="M50" s="1696"/>
      <c r="N50" s="510"/>
      <c r="O50" s="511"/>
      <c r="P50" s="511"/>
      <c r="Q50" s="511"/>
      <c r="R50" s="511"/>
      <c r="S50" s="508"/>
    </row>
    <row r="51" spans="3:19">
      <c r="K51" s="1697" t="s">
        <v>729</v>
      </c>
      <c r="L51" s="1698"/>
      <c r="M51" s="1698"/>
      <c r="N51" s="503">
        <f>IFERROR(365/N49,0)</f>
        <v>63</v>
      </c>
      <c r="O51" s="504">
        <f t="shared" ref="O51:R51" si="32">IFERROR(365/O49,0)</f>
        <v>63</v>
      </c>
      <c r="P51" s="504">
        <f t="shared" si="32"/>
        <v>62.000000000000007</v>
      </c>
      <c r="Q51" s="504">
        <f t="shared" si="32"/>
        <v>62.000000000000007</v>
      </c>
      <c r="R51" s="504">
        <f t="shared" si="32"/>
        <v>60</v>
      </c>
      <c r="S51" s="505">
        <f>AVERAGE(N51:R51)</f>
        <v>62</v>
      </c>
    </row>
    <row r="52" spans="3:19">
      <c r="K52" s="1699" t="s">
        <v>731</v>
      </c>
      <c r="L52" s="1700"/>
      <c r="M52" s="1700"/>
      <c r="N52" s="497"/>
      <c r="O52" s="453"/>
      <c r="P52" s="453"/>
      <c r="Q52" s="453"/>
      <c r="R52" s="453"/>
      <c r="S52" s="512"/>
    </row>
    <row r="53" spans="3:19">
      <c r="K53" s="1693" t="s">
        <v>733</v>
      </c>
      <c r="L53" s="1694"/>
      <c r="M53" s="1694"/>
      <c r="N53" s="499">
        <f>IFERROR(N16/((N15+M15)/2),0)</f>
        <v>3.0416666666666665</v>
      </c>
      <c r="O53" s="492">
        <f t="shared" ref="O53:R53" si="33">IFERROR(O16/((O15+N15)/2),0)</f>
        <v>3.1739130434782612</v>
      </c>
      <c r="P53" s="492">
        <f t="shared" si="33"/>
        <v>3.4761904761904763</v>
      </c>
      <c r="Q53" s="492">
        <f t="shared" si="33"/>
        <v>3.3796296296296293</v>
      </c>
      <c r="R53" s="492">
        <f t="shared" si="33"/>
        <v>3.6868686868686869</v>
      </c>
      <c r="S53" s="509"/>
    </row>
    <row r="54" spans="3:19">
      <c r="K54" s="1695" t="s">
        <v>735</v>
      </c>
      <c r="L54" s="1696"/>
      <c r="M54" s="1696"/>
      <c r="N54" s="513"/>
      <c r="O54" s="514"/>
      <c r="P54" s="514"/>
      <c r="Q54" s="514"/>
      <c r="R54" s="514"/>
      <c r="S54" s="508"/>
    </row>
    <row r="55" spans="3:19">
      <c r="K55" s="1697" t="s">
        <v>736</v>
      </c>
      <c r="L55" s="1698"/>
      <c r="M55" s="1698"/>
      <c r="N55" s="503">
        <f>365/N53</f>
        <v>120</v>
      </c>
      <c r="O55" s="504">
        <f t="shared" ref="O55:R55" si="34">365/O53</f>
        <v>114.99999999999999</v>
      </c>
      <c r="P55" s="504">
        <f t="shared" si="34"/>
        <v>105</v>
      </c>
      <c r="Q55" s="504">
        <f t="shared" si="34"/>
        <v>108.00000000000001</v>
      </c>
      <c r="R55" s="504">
        <f t="shared" si="34"/>
        <v>99</v>
      </c>
      <c r="S55" s="505">
        <f>AVERAGE(N55:R55)</f>
        <v>109.4</v>
      </c>
    </row>
    <row r="56" spans="3:19">
      <c r="K56" s="1689" t="s">
        <v>737</v>
      </c>
      <c r="L56" s="1690"/>
      <c r="M56" s="1690"/>
      <c r="N56" s="497"/>
      <c r="O56" s="453"/>
      <c r="P56" s="453"/>
      <c r="Q56" s="453"/>
      <c r="R56" s="453"/>
      <c r="S56" s="515"/>
    </row>
    <row r="57" spans="3:19">
      <c r="K57" s="1691"/>
      <c r="L57" s="1692"/>
      <c r="M57" s="1692"/>
      <c r="N57" s="499">
        <f t="shared" ref="N57:R57" si="35">N47+N51</f>
        <v>90</v>
      </c>
      <c r="O57" s="173">
        <f t="shared" si="35"/>
        <v>90</v>
      </c>
      <c r="P57" s="173">
        <f t="shared" si="35"/>
        <v>87</v>
      </c>
      <c r="Q57" s="173">
        <f t="shared" si="35"/>
        <v>87</v>
      </c>
      <c r="R57" s="173">
        <f t="shared" si="35"/>
        <v>85</v>
      </c>
      <c r="S57" s="491"/>
    </row>
    <row r="58" spans="3:19">
      <c r="K58" s="1695" t="s">
        <v>739</v>
      </c>
      <c r="L58" s="1696"/>
      <c r="M58" s="1696"/>
      <c r="N58" s="513"/>
      <c r="O58" s="514"/>
      <c r="P58" s="514"/>
      <c r="Q58" s="514"/>
      <c r="R58" s="514"/>
      <c r="S58" s="516"/>
    </row>
    <row r="59" spans="3:19">
      <c r="K59" s="1697"/>
      <c r="L59" s="1698"/>
      <c r="M59" s="1698"/>
      <c r="N59" s="503">
        <f t="shared" ref="N59:R59" si="36">N57-N55</f>
        <v>-30</v>
      </c>
      <c r="O59" s="504">
        <f t="shared" si="36"/>
        <v>-24.999999999999986</v>
      </c>
      <c r="P59" s="504">
        <f t="shared" si="36"/>
        <v>-18</v>
      </c>
      <c r="Q59" s="504">
        <f t="shared" si="36"/>
        <v>-21.000000000000014</v>
      </c>
      <c r="R59" s="504">
        <f t="shared" si="36"/>
        <v>-14</v>
      </c>
      <c r="S59" s="517"/>
    </row>
    <row r="60" spans="3:19">
      <c r="K60" s="1689" t="s">
        <v>741</v>
      </c>
      <c r="L60" s="1690"/>
      <c r="M60" s="1690"/>
      <c r="N60" s="518"/>
      <c r="O60" s="489"/>
      <c r="P60" s="489"/>
      <c r="Q60" s="489"/>
      <c r="R60" s="489"/>
      <c r="S60" s="493"/>
    </row>
    <row r="61" spans="3:19" ht="15" thickBot="1">
      <c r="K61" s="1691" t="s">
        <v>743</v>
      </c>
      <c r="L61" s="1692"/>
      <c r="M61" s="1692"/>
      <c r="N61" s="519">
        <f t="shared" ref="N61:R61" si="37">N13+N14-N15</f>
        <v>-17477.84684279369</v>
      </c>
      <c r="O61" s="520">
        <f t="shared" si="37"/>
        <v>-6964.0757326877501</v>
      </c>
      <c r="P61" s="520">
        <f t="shared" si="37"/>
        <v>-17305.961384892289</v>
      </c>
      <c r="Q61" s="520">
        <f t="shared" si="37"/>
        <v>-3033.5661502344883</v>
      </c>
      <c r="R61" s="520">
        <f t="shared" si="37"/>
        <v>-955.26394861191511</v>
      </c>
      <c r="S61" s="491"/>
    </row>
    <row r="62" spans="3:19">
      <c r="M62" s="521"/>
      <c r="N62" s="416">
        <f t="shared" ref="N62:R62" si="38">N61-N38</f>
        <v>0</v>
      </c>
      <c r="O62" s="416">
        <f t="shared" si="38"/>
        <v>0</v>
      </c>
      <c r="P62" s="416">
        <f t="shared" si="38"/>
        <v>0</v>
      </c>
      <c r="Q62" s="416">
        <f t="shared" si="38"/>
        <v>0</v>
      </c>
      <c r="R62" s="416">
        <f t="shared" si="38"/>
        <v>0</v>
      </c>
    </row>
    <row r="63" spans="3:19" ht="15">
      <c r="C63" s="522"/>
      <c r="D63" s="523"/>
      <c r="E63" s="523"/>
      <c r="G63" s="94">
        <f>H20</f>
        <v>2010</v>
      </c>
      <c r="H63" s="94">
        <f t="shared" ref="H63:L63" si="39">I20</f>
        <v>2011</v>
      </c>
      <c r="I63" s="94">
        <f t="shared" si="39"/>
        <v>2012</v>
      </c>
      <c r="J63" s="94">
        <f t="shared" si="39"/>
        <v>2013</v>
      </c>
      <c r="K63" s="94">
        <f t="shared" si="39"/>
        <v>2014</v>
      </c>
      <c r="L63" s="94">
        <f t="shared" si="39"/>
        <v>2015</v>
      </c>
      <c r="M63" s="524" t="s">
        <v>716</v>
      </c>
    </row>
    <row r="64" spans="3:19" ht="15">
      <c r="C64" s="525" t="s">
        <v>786</v>
      </c>
      <c r="D64" s="526"/>
      <c r="E64" s="526"/>
      <c r="G64" s="526">
        <f>H25</f>
        <v>19.75058440064079</v>
      </c>
      <c r="H64" s="526">
        <f t="shared" ref="H64:L64" si="40">I25</f>
        <v>25.35767690467533</v>
      </c>
      <c r="I64" s="526">
        <f t="shared" si="40"/>
        <v>26.247192021079332</v>
      </c>
      <c r="J64" s="526">
        <f t="shared" si="40"/>
        <v>30.512473127068411</v>
      </c>
      <c r="K64" s="526">
        <f t="shared" si="40"/>
        <v>34.328602384084412</v>
      </c>
      <c r="L64" s="526">
        <f t="shared" si="40"/>
        <v>30.403804445919199</v>
      </c>
      <c r="M64" s="527">
        <f>S47</f>
        <v>25.8</v>
      </c>
    </row>
    <row r="65" spans="3:13" ht="15">
      <c r="C65" s="528" t="s">
        <v>785</v>
      </c>
      <c r="D65" s="523"/>
      <c r="E65" s="523"/>
      <c r="G65" s="526">
        <f>H29</f>
        <v>58.640932957938588</v>
      </c>
      <c r="H65" s="526">
        <f t="shared" ref="H65:L65" si="41">I29</f>
        <v>58.902632976705192</v>
      </c>
      <c r="I65" s="526">
        <f t="shared" si="41"/>
        <v>60.213380930131713</v>
      </c>
      <c r="J65" s="526">
        <f t="shared" si="41"/>
        <v>72.892853870085318</v>
      </c>
      <c r="K65" s="526">
        <f t="shared" si="41"/>
        <v>67.529305777679966</v>
      </c>
      <c r="L65" s="526">
        <f t="shared" si="41"/>
        <v>64.753173479018116</v>
      </c>
      <c r="M65" s="527">
        <f>S51</f>
        <v>62</v>
      </c>
    </row>
    <row r="66" spans="3:13" ht="15">
      <c r="C66" s="528" t="s">
        <v>787</v>
      </c>
      <c r="D66" s="523"/>
      <c r="E66" s="523"/>
      <c r="G66" s="526">
        <f>H33</f>
        <v>60.437449390391663</v>
      </c>
      <c r="H66" s="526">
        <f t="shared" ref="H66:L66" si="42">I33</f>
        <v>67.45080154577019</v>
      </c>
      <c r="I66" s="526">
        <f t="shared" si="42"/>
        <v>74.564997626637577</v>
      </c>
      <c r="J66" s="526">
        <f t="shared" si="42"/>
        <v>130.53110559954351</v>
      </c>
      <c r="K66" s="526">
        <f t="shared" si="42"/>
        <v>153.59636749001032</v>
      </c>
      <c r="L66" s="526">
        <f t="shared" si="42"/>
        <v>140.31500527569341</v>
      </c>
      <c r="M66" s="529">
        <f>S55</f>
        <v>109.4</v>
      </c>
    </row>
  </sheetData>
  <mergeCells count="69">
    <mergeCell ref="R20:R21"/>
    <mergeCell ref="K20:K21"/>
    <mergeCell ref="L20:L21"/>
    <mergeCell ref="M20:M21"/>
    <mergeCell ref="N20:N21"/>
    <mergeCell ref="O20:O21"/>
    <mergeCell ref="P20:P21"/>
    <mergeCell ref="B22:C22"/>
    <mergeCell ref="D22:F22"/>
    <mergeCell ref="B23:C23"/>
    <mergeCell ref="D23:F23"/>
    <mergeCell ref="Q20:Q21"/>
    <mergeCell ref="B20:C21"/>
    <mergeCell ref="D20:F21"/>
    <mergeCell ref="G20:G21"/>
    <mergeCell ref="H20:H21"/>
    <mergeCell ref="I20:I21"/>
    <mergeCell ref="J20:J21"/>
    <mergeCell ref="B29:C29"/>
    <mergeCell ref="D29:F29"/>
    <mergeCell ref="B24:C24"/>
    <mergeCell ref="D24:F24"/>
    <mergeCell ref="B25:C25"/>
    <mergeCell ref="D25:F25"/>
    <mergeCell ref="B26:C26"/>
    <mergeCell ref="D26:F26"/>
    <mergeCell ref="B34:C34"/>
    <mergeCell ref="B36:C36"/>
    <mergeCell ref="D36:F36"/>
    <mergeCell ref="B37:C37"/>
    <mergeCell ref="D37:F37"/>
    <mergeCell ref="N9:R9"/>
    <mergeCell ref="G9:M9"/>
    <mergeCell ref="G19:M19"/>
    <mergeCell ref="N19:R19"/>
    <mergeCell ref="B33:C33"/>
    <mergeCell ref="D33:F33"/>
    <mergeCell ref="B30:C30"/>
    <mergeCell ref="D30:F30"/>
    <mergeCell ref="B31:C31"/>
    <mergeCell ref="D31:F31"/>
    <mergeCell ref="B32:C32"/>
    <mergeCell ref="D32:F32"/>
    <mergeCell ref="B27:C27"/>
    <mergeCell ref="D27:F27"/>
    <mergeCell ref="B28:C28"/>
    <mergeCell ref="D28:F28"/>
    <mergeCell ref="K58:M58"/>
    <mergeCell ref="K59:M59"/>
    <mergeCell ref="N43:R43"/>
    <mergeCell ref="B38:C38"/>
    <mergeCell ref="B39:C39"/>
    <mergeCell ref="B40:C41"/>
    <mergeCell ref="K60:M60"/>
    <mergeCell ref="K61:M61"/>
    <mergeCell ref="K44:M44"/>
    <mergeCell ref="K45:M45"/>
    <mergeCell ref="K46:M46"/>
    <mergeCell ref="K47:M47"/>
    <mergeCell ref="K48:M48"/>
    <mergeCell ref="K49:M49"/>
    <mergeCell ref="K50:M50"/>
    <mergeCell ref="K51:M51"/>
    <mergeCell ref="K52:M52"/>
    <mergeCell ref="K53:M53"/>
    <mergeCell ref="K54:M54"/>
    <mergeCell ref="K55:M55"/>
    <mergeCell ref="K56:M56"/>
    <mergeCell ref="K57:M57"/>
  </mergeCells>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2:T143"/>
  <sheetViews>
    <sheetView showGridLines="0" workbookViewId="0">
      <selection activeCell="D4" sqref="D4"/>
    </sheetView>
  </sheetViews>
  <sheetFormatPr baseColWidth="10" defaultRowHeight="14.25"/>
  <cols>
    <col min="1" max="1" width="5.7109375" style="155" customWidth="1"/>
    <col min="2" max="2" width="11.42578125" style="155"/>
    <col min="3" max="4" width="11.42578125" style="530"/>
    <col min="5" max="5" width="5.7109375" style="155" customWidth="1"/>
    <col min="6" max="6" width="11.42578125" style="155"/>
    <col min="7" max="7" width="11.42578125" style="530"/>
    <col min="8" max="8" width="11.42578125" style="155"/>
    <col min="9" max="9" width="5.42578125" style="155" customWidth="1"/>
    <col min="10" max="11" width="11.42578125" style="155"/>
    <col min="12" max="12" width="5.85546875" style="155" customWidth="1"/>
    <col min="13" max="16384" width="11.42578125" style="155"/>
  </cols>
  <sheetData>
    <row r="2" spans="2:20" ht="15">
      <c r="M2" s="310" t="s">
        <v>1515</v>
      </c>
    </row>
    <row r="3" spans="2:20" ht="15" customHeight="1">
      <c r="B3" s="1614" t="s">
        <v>1515</v>
      </c>
      <c r="C3" s="1615"/>
      <c r="D3" s="1616"/>
      <c r="F3" s="1614" t="s">
        <v>1516</v>
      </c>
      <c r="G3" s="1615"/>
      <c r="H3" s="1616"/>
      <c r="J3" s="531" t="s">
        <v>1679</v>
      </c>
      <c r="K3" s="1445">
        <f>(D5/H5)</f>
        <v>1.534995433412454</v>
      </c>
      <c r="M3" s="1749" t="s">
        <v>1678</v>
      </c>
      <c r="N3" s="1749"/>
      <c r="O3" s="1749"/>
      <c r="P3" s="1749"/>
      <c r="Q3" s="1749"/>
      <c r="R3" s="1749"/>
      <c r="S3" s="1749"/>
      <c r="T3" s="1749"/>
    </row>
    <row r="4" spans="2:20">
      <c r="B4" s="419" t="s">
        <v>1517</v>
      </c>
      <c r="C4" s="532"/>
      <c r="D4" s="533">
        <f>_xlfn.STDEV.S(D13:D78)</f>
        <v>6.8535954466340587E-2</v>
      </c>
      <c r="F4" s="419" t="s">
        <v>1517</v>
      </c>
      <c r="G4" s="532"/>
      <c r="H4" s="533">
        <f>_xlfn.STDEV.S(H13:H78)</f>
        <v>4.4648963100807446E-2</v>
      </c>
      <c r="M4" s="1749"/>
      <c r="N4" s="1749"/>
      <c r="O4" s="1749"/>
      <c r="P4" s="1749"/>
      <c r="Q4" s="1749"/>
      <c r="R4" s="1749"/>
      <c r="S4" s="1749"/>
      <c r="T4" s="1749"/>
    </row>
    <row r="5" spans="2:20">
      <c r="B5" s="534" t="s">
        <v>1518</v>
      </c>
      <c r="C5" s="535"/>
      <c r="D5" s="536">
        <f>+D4*SQRT(12)</f>
        <v>0.23741551056185803</v>
      </c>
      <c r="F5" s="534" t="s">
        <v>1518</v>
      </c>
      <c r="G5" s="535"/>
      <c r="H5" s="536">
        <f>+H4*SQRT(12)</f>
        <v>0.15466854519173306</v>
      </c>
      <c r="M5" s="1749"/>
      <c r="N5" s="1749"/>
      <c r="O5" s="1749"/>
      <c r="P5" s="1749"/>
      <c r="Q5" s="1749"/>
      <c r="R5" s="1749"/>
      <c r="S5" s="1749"/>
      <c r="T5" s="1749"/>
    </row>
    <row r="6" spans="2:20">
      <c r="C6" s="415"/>
      <c r="G6" s="415"/>
      <c r="M6" s="1749"/>
      <c r="N6" s="1749"/>
      <c r="O6" s="1749"/>
      <c r="P6" s="1749"/>
      <c r="Q6" s="1749"/>
      <c r="R6" s="1749"/>
      <c r="S6" s="1749"/>
      <c r="T6" s="1749"/>
    </row>
    <row r="7" spans="2:20" ht="15">
      <c r="B7" s="537" t="s">
        <v>194</v>
      </c>
      <c r="C7" s="538" t="s">
        <v>1676</v>
      </c>
      <c r="D7" s="538" t="s">
        <v>1677</v>
      </c>
      <c r="F7" s="537" t="s">
        <v>194</v>
      </c>
      <c r="G7" s="538" t="s">
        <v>1676</v>
      </c>
      <c r="H7" s="538" t="s">
        <v>1677</v>
      </c>
      <c r="M7" s="539"/>
      <c r="N7" s="539"/>
      <c r="O7" s="539"/>
      <c r="P7" s="539"/>
      <c r="Q7" s="539"/>
      <c r="R7" s="539"/>
      <c r="S7" s="539"/>
      <c r="T7" s="539"/>
    </row>
    <row r="8" spans="2:20" ht="15">
      <c r="B8" s="155" t="s">
        <v>1519</v>
      </c>
      <c r="C8" s="530">
        <v>13498.15</v>
      </c>
      <c r="D8" s="530">
        <f>(C8/C9)-1</f>
        <v>-1.4911180247064948E-2</v>
      </c>
      <c r="F8" s="155" t="s">
        <v>1519</v>
      </c>
      <c r="G8" s="530">
        <v>103.381</v>
      </c>
      <c r="H8" s="530">
        <f>(G8/G9)-1</f>
        <v>9.3632227451134753E-3</v>
      </c>
      <c r="M8" s="310" t="s">
        <v>1516</v>
      </c>
    </row>
    <row r="9" spans="2:20">
      <c r="B9" s="155" t="s">
        <v>1520</v>
      </c>
      <c r="C9" s="530">
        <v>13702.47</v>
      </c>
      <c r="D9" s="530">
        <f t="shared" ref="D9:D72" si="0">(C9/C10)-1</f>
        <v>0.13638659371882222</v>
      </c>
      <c r="F9" s="155" t="s">
        <v>1521</v>
      </c>
      <c r="G9" s="530">
        <v>102.422</v>
      </c>
      <c r="H9" s="530">
        <f t="shared" ref="H9:H72" si="1">(G9/G10)-1</f>
        <v>6.1984156609016683E-2</v>
      </c>
      <c r="M9" s="155" t="s">
        <v>1680</v>
      </c>
    </row>
    <row r="10" spans="2:20">
      <c r="B10" s="155" t="s">
        <v>1522</v>
      </c>
      <c r="C10" s="530">
        <v>12057.93</v>
      </c>
      <c r="D10" s="530">
        <f t="shared" si="0"/>
        <v>0.12248340422204418</v>
      </c>
      <c r="F10" s="155" t="s">
        <v>1522</v>
      </c>
      <c r="G10" s="530">
        <v>96.444000000000003</v>
      </c>
      <c r="H10" s="530">
        <f t="shared" si="1"/>
        <v>5.8556234839587828E-2</v>
      </c>
    </row>
    <row r="11" spans="2:20">
      <c r="B11" s="155" t="s">
        <v>1523</v>
      </c>
      <c r="C11" s="530">
        <v>10742.19</v>
      </c>
      <c r="D11" s="530">
        <f t="shared" si="0"/>
        <v>0.14377906778650407</v>
      </c>
      <c r="F11" s="155" t="s">
        <v>1523</v>
      </c>
      <c r="G11" s="530">
        <v>91.108999999999995</v>
      </c>
      <c r="H11" s="530">
        <f t="shared" si="1"/>
        <v>3.1496597869281162E-2</v>
      </c>
    </row>
    <row r="12" spans="2:20">
      <c r="B12" s="155" t="s">
        <v>1524</v>
      </c>
      <c r="C12" s="530">
        <v>9391.84</v>
      </c>
      <c r="D12" s="530">
        <f t="shared" si="0"/>
        <v>-4.6377197141925897E-2</v>
      </c>
      <c r="F12" s="155" t="s">
        <v>1525</v>
      </c>
      <c r="G12" s="530">
        <v>88.326999999999998</v>
      </c>
      <c r="H12" s="530">
        <f t="shared" si="1"/>
        <v>-2.5615285331332949E-2</v>
      </c>
    </row>
    <row r="13" spans="2:20">
      <c r="B13" s="155" t="s">
        <v>1526</v>
      </c>
      <c r="C13" s="530">
        <v>9848.59</v>
      </c>
      <c r="D13" s="530">
        <f t="shared" si="0"/>
        <v>-3.6923856220015705E-2</v>
      </c>
      <c r="F13" s="155" t="s">
        <v>1526</v>
      </c>
      <c r="G13" s="530">
        <v>90.649000000000001</v>
      </c>
      <c r="H13" s="530">
        <f t="shared" si="1"/>
        <v>-4.3514503075770428E-2</v>
      </c>
    </row>
    <row r="14" spans="2:20">
      <c r="B14" s="155" t="s">
        <v>1527</v>
      </c>
      <c r="C14" s="530">
        <v>10226.18</v>
      </c>
      <c r="D14" s="530">
        <f t="shared" si="0"/>
        <v>-3.0290329340834754E-2</v>
      </c>
      <c r="F14" s="155" t="s">
        <v>1527</v>
      </c>
      <c r="G14" s="530">
        <v>94.772999999999996</v>
      </c>
      <c r="H14" s="530">
        <f t="shared" si="1"/>
        <v>8.6955596236535371E-3</v>
      </c>
    </row>
    <row r="15" spans="2:20">
      <c r="B15" s="155" t="s">
        <v>1528</v>
      </c>
      <c r="C15" s="530">
        <v>10545.61</v>
      </c>
      <c r="D15" s="530">
        <f t="shared" si="0"/>
        <v>5.1347032122800673E-2</v>
      </c>
      <c r="F15" s="155" t="s">
        <v>1529</v>
      </c>
      <c r="G15" s="530">
        <v>93.956000000000003</v>
      </c>
      <c r="H15" s="530">
        <f t="shared" si="1"/>
        <v>5.0703406320592226E-2</v>
      </c>
    </row>
    <row r="16" spans="2:20">
      <c r="B16" s="155" t="s">
        <v>1530</v>
      </c>
      <c r="C16" s="530">
        <v>10030.57</v>
      </c>
      <c r="D16" s="530">
        <f t="shared" si="0"/>
        <v>-2.9971500383444094E-2</v>
      </c>
      <c r="F16" s="155" t="s">
        <v>1530</v>
      </c>
      <c r="G16" s="530">
        <v>89.421999999999997</v>
      </c>
      <c r="H16" s="530">
        <f t="shared" si="1"/>
        <v>-0.1465086091703891</v>
      </c>
    </row>
    <row r="17" spans="2:8">
      <c r="B17" s="155" t="s">
        <v>1531</v>
      </c>
      <c r="C17" s="530">
        <v>10340.49</v>
      </c>
      <c r="D17" s="530">
        <f t="shared" si="0"/>
        <v>-0.13742129550846349</v>
      </c>
      <c r="F17" s="155" t="s">
        <v>1531</v>
      </c>
      <c r="G17" s="530">
        <v>104.77200000000001</v>
      </c>
      <c r="H17" s="530">
        <f t="shared" si="1"/>
        <v>7.9956707725609588E-2</v>
      </c>
    </row>
    <row r="18" spans="2:8">
      <c r="B18" s="155" t="s">
        <v>1532</v>
      </c>
      <c r="C18" s="530">
        <v>11987.88</v>
      </c>
      <c r="D18" s="530">
        <f t="shared" si="0"/>
        <v>-8.5813727725637778E-2</v>
      </c>
      <c r="F18" s="155" t="s">
        <v>1532</v>
      </c>
      <c r="G18" s="530">
        <v>97.015000000000001</v>
      </c>
      <c r="H18" s="530">
        <f t="shared" si="1"/>
        <v>1.1661266021341099E-3</v>
      </c>
    </row>
    <row r="19" spans="2:8">
      <c r="B19" s="155" t="s">
        <v>1533</v>
      </c>
      <c r="C19" s="530">
        <v>13113.17</v>
      </c>
      <c r="D19" s="530">
        <f t="shared" si="0"/>
        <v>-5.116606894521647E-3</v>
      </c>
      <c r="F19" s="155" t="s">
        <v>1533</v>
      </c>
      <c r="G19" s="530">
        <v>96.902000000000001</v>
      </c>
      <c r="H19" s="530">
        <f t="shared" si="1"/>
        <v>-2.3765627990852356E-2</v>
      </c>
    </row>
    <row r="20" spans="2:8">
      <c r="B20" s="155" t="s">
        <v>1534</v>
      </c>
      <c r="C20" s="530">
        <v>13180.61</v>
      </c>
      <c r="D20" s="530">
        <f t="shared" si="0"/>
        <v>-1.3933713676959281E-2</v>
      </c>
      <c r="F20" s="155" t="s">
        <v>1535</v>
      </c>
      <c r="G20" s="530">
        <v>99.260999999999996</v>
      </c>
      <c r="H20" s="530">
        <f t="shared" si="1"/>
        <v>-2.2049478319983495E-2</v>
      </c>
    </row>
    <row r="21" spans="2:8">
      <c r="B21" s="155" t="s">
        <v>1536</v>
      </c>
      <c r="C21" s="530">
        <v>13366.86</v>
      </c>
      <c r="D21" s="530">
        <f t="shared" si="0"/>
        <v>7.2625886608767232E-2</v>
      </c>
      <c r="F21" s="155" t="s">
        <v>1536</v>
      </c>
      <c r="G21" s="530">
        <v>101.499</v>
      </c>
      <c r="H21" s="530">
        <f t="shared" si="1"/>
        <v>-1.6806478485770215E-2</v>
      </c>
    </row>
    <row r="22" spans="2:8">
      <c r="B22" s="155" t="s">
        <v>1537</v>
      </c>
      <c r="C22" s="530">
        <v>12461.81</v>
      </c>
      <c r="D22" s="530">
        <f t="shared" si="0"/>
        <v>-6.9835087651204497E-2</v>
      </c>
      <c r="F22" s="155" t="s">
        <v>1537</v>
      </c>
      <c r="G22" s="530">
        <v>103.23399999999999</v>
      </c>
      <c r="H22" s="530">
        <f t="shared" si="1"/>
        <v>-4.7850067329508805E-2</v>
      </c>
    </row>
    <row r="23" spans="2:8">
      <c r="B23" s="155" t="s">
        <v>1538</v>
      </c>
      <c r="C23" s="530">
        <v>13397.42</v>
      </c>
      <c r="D23" s="530">
        <f t="shared" si="0"/>
        <v>-1.9924241648366037E-2</v>
      </c>
      <c r="F23" s="155" t="s">
        <v>1539</v>
      </c>
      <c r="G23" s="530">
        <v>108.422</v>
      </c>
      <c r="H23" s="530">
        <f t="shared" si="1"/>
        <v>-3.1652465927156426E-2</v>
      </c>
    </row>
    <row r="24" spans="2:8">
      <c r="B24" s="155" t="s">
        <v>1540</v>
      </c>
      <c r="C24" s="530">
        <v>13669.78</v>
      </c>
      <c r="D24" s="530">
        <f t="shared" si="0"/>
        <v>-7.6011604453601E-2</v>
      </c>
      <c r="F24" s="155" t="s">
        <v>1541</v>
      </c>
      <c r="G24" s="530">
        <v>111.96599999999999</v>
      </c>
      <c r="H24" s="530">
        <f t="shared" si="1"/>
        <v>7.4560687927675451E-2</v>
      </c>
    </row>
    <row r="25" spans="2:8">
      <c r="B25" s="155" t="s">
        <v>1542</v>
      </c>
      <c r="C25" s="530">
        <v>14794.32</v>
      </c>
      <c r="D25" s="530">
        <f t="shared" si="0"/>
        <v>-2.0662683381811431E-2</v>
      </c>
      <c r="F25" s="155" t="s">
        <v>1542</v>
      </c>
      <c r="G25" s="530">
        <v>104.197</v>
      </c>
      <c r="H25" s="530">
        <f t="shared" si="1"/>
        <v>-2.1486594356012523E-2</v>
      </c>
    </row>
    <row r="26" spans="2:8">
      <c r="B26" s="155" t="s">
        <v>1543</v>
      </c>
      <c r="C26" s="530">
        <v>15106.46</v>
      </c>
      <c r="D26" s="530">
        <f t="shared" si="0"/>
        <v>-3.6161659083673303E-2</v>
      </c>
      <c r="F26" s="155" t="s">
        <v>1544</v>
      </c>
      <c r="G26" s="530">
        <v>106.485</v>
      </c>
      <c r="H26" s="530">
        <f t="shared" si="1"/>
        <v>1.1416847924166307E-2</v>
      </c>
    </row>
    <row r="27" spans="2:8">
      <c r="B27" s="155" t="s">
        <v>1545</v>
      </c>
      <c r="C27" s="530">
        <v>15673.23</v>
      </c>
      <c r="D27" s="530">
        <f t="shared" si="0"/>
        <v>-3.410324152734312E-2</v>
      </c>
      <c r="F27" s="155" t="s">
        <v>1545</v>
      </c>
      <c r="G27" s="530">
        <v>105.283</v>
      </c>
      <c r="H27" s="530">
        <f t="shared" si="1"/>
        <v>2.139156755078675E-2</v>
      </c>
    </row>
    <row r="28" spans="2:8">
      <c r="B28" s="155" t="s">
        <v>1546</v>
      </c>
      <c r="C28" s="530">
        <v>16226.61</v>
      </c>
      <c r="D28" s="530">
        <f t="shared" si="0"/>
        <v>-4.6100658286902019E-2</v>
      </c>
      <c r="F28" s="155" t="s">
        <v>1546</v>
      </c>
      <c r="G28" s="530">
        <v>103.078</v>
      </c>
      <c r="H28" s="530">
        <f t="shared" si="1"/>
        <v>-3.6852235988862114E-2</v>
      </c>
    </row>
    <row r="29" spans="2:8">
      <c r="B29" s="155" t="s">
        <v>1547</v>
      </c>
      <c r="C29" s="530">
        <v>17010.82</v>
      </c>
      <c r="D29" s="530">
        <f t="shared" si="0"/>
        <v>8.5823194140661752E-3</v>
      </c>
      <c r="F29" s="155" t="s">
        <v>1548</v>
      </c>
      <c r="G29" s="530">
        <v>107.02200000000001</v>
      </c>
      <c r="H29" s="530">
        <f t="shared" si="1"/>
        <v>1.2746628814762406E-2</v>
      </c>
    </row>
    <row r="30" spans="2:8">
      <c r="B30" s="155" t="s">
        <v>1549</v>
      </c>
      <c r="C30" s="530">
        <v>16866.07</v>
      </c>
      <c r="D30" s="530">
        <f t="shared" si="0"/>
        <v>1.223061909894696E-2</v>
      </c>
      <c r="F30" s="155" t="s">
        <v>1549</v>
      </c>
      <c r="G30" s="530">
        <v>105.675</v>
      </c>
      <c r="H30" s="530">
        <f t="shared" si="1"/>
        <v>6.8888634804482596E-3</v>
      </c>
    </row>
    <row r="31" spans="2:8">
      <c r="B31" s="155" t="s">
        <v>1550</v>
      </c>
      <c r="C31" s="530">
        <v>16662.28</v>
      </c>
      <c r="D31" s="530">
        <f t="shared" si="0"/>
        <v>5.7704283243140253E-2</v>
      </c>
      <c r="F31" s="155" t="s">
        <v>1550</v>
      </c>
      <c r="G31" s="530">
        <v>104.952</v>
      </c>
      <c r="H31" s="530">
        <f t="shared" si="1"/>
        <v>2.1271626802638943E-2</v>
      </c>
    </row>
    <row r="32" spans="2:8">
      <c r="B32" s="155" t="s">
        <v>1551</v>
      </c>
      <c r="C32" s="530">
        <v>15753.25</v>
      </c>
      <c r="D32" s="530">
        <f t="shared" si="0"/>
        <v>1.4481227275478847E-2</v>
      </c>
      <c r="F32" s="155" t="s">
        <v>1552</v>
      </c>
      <c r="G32" s="530">
        <v>102.76600000000001</v>
      </c>
      <c r="H32" s="530">
        <f t="shared" si="1"/>
        <v>1.9675937410079225E-2</v>
      </c>
    </row>
    <row r="33" spans="2:8">
      <c r="B33" s="155" t="s">
        <v>1553</v>
      </c>
      <c r="C33" s="530">
        <v>15528.38</v>
      </c>
      <c r="D33" s="530">
        <f t="shared" si="0"/>
        <v>8.5982717575872725E-2</v>
      </c>
      <c r="F33" s="155" t="s">
        <v>1553</v>
      </c>
      <c r="G33" s="530">
        <v>100.783</v>
      </c>
      <c r="H33" s="530">
        <f t="shared" si="1"/>
        <v>1.5282171136139278E-2</v>
      </c>
    </row>
    <row r="34" spans="2:8">
      <c r="B34" s="155" t="s">
        <v>1554</v>
      </c>
      <c r="C34" s="530">
        <v>14298.92</v>
      </c>
      <c r="D34" s="530">
        <f t="shared" si="0"/>
        <v>-7.3979714090689486E-2</v>
      </c>
      <c r="F34" s="155" t="s">
        <v>1554</v>
      </c>
      <c r="G34" s="530">
        <v>99.266000000000005</v>
      </c>
      <c r="H34" s="530">
        <f t="shared" si="1"/>
        <v>3.1710232292262219E-2</v>
      </c>
    </row>
    <row r="35" spans="2:8">
      <c r="B35" s="155" t="s">
        <v>1555</v>
      </c>
      <c r="C35" s="530">
        <v>15441.26</v>
      </c>
      <c r="D35" s="530">
        <f t="shared" si="0"/>
        <v>-6.9828922375991809E-4</v>
      </c>
      <c r="F35" s="155" t="s">
        <v>1555</v>
      </c>
      <c r="G35" s="530">
        <v>96.215000000000003</v>
      </c>
      <c r="H35" s="530">
        <f t="shared" si="1"/>
        <v>3.5772725315420084E-2</v>
      </c>
    </row>
    <row r="36" spans="2:8">
      <c r="B36" s="155" t="s">
        <v>1556</v>
      </c>
      <c r="C36" s="530">
        <v>15452.05</v>
      </c>
      <c r="D36" s="530">
        <f t="shared" si="0"/>
        <v>-1.9144769624817148E-2</v>
      </c>
      <c r="F36" s="155" t="s">
        <v>1556</v>
      </c>
      <c r="G36" s="530">
        <v>92.891999999999996</v>
      </c>
      <c r="H36" s="530">
        <f t="shared" si="1"/>
        <v>-6.4220738009610479E-2</v>
      </c>
    </row>
    <row r="37" spans="2:8">
      <c r="B37" s="155" t="s">
        <v>1557</v>
      </c>
      <c r="C37" s="530">
        <v>15753.65</v>
      </c>
      <c r="D37" s="530">
        <f t="shared" si="0"/>
        <v>3.6397068498197349E-2</v>
      </c>
      <c r="F37" s="155" t="s">
        <v>1557</v>
      </c>
      <c r="G37" s="530">
        <v>99.266999999999996</v>
      </c>
      <c r="H37" s="530">
        <f t="shared" si="1"/>
        <v>-2.8023382193108848E-2</v>
      </c>
    </row>
    <row r="38" spans="2:8">
      <c r="B38" s="155" t="s">
        <v>1558</v>
      </c>
      <c r="C38" s="530">
        <v>15200.4</v>
      </c>
      <c r="D38" s="530">
        <f t="shared" si="0"/>
        <v>-6.8717639555422427E-2</v>
      </c>
      <c r="F38" s="155" t="s">
        <v>1559</v>
      </c>
      <c r="G38" s="530">
        <v>102.129</v>
      </c>
      <c r="H38" s="530">
        <f t="shared" si="1"/>
        <v>-4.7863662213437963E-2</v>
      </c>
    </row>
    <row r="39" spans="2:8">
      <c r="B39" s="155" t="s">
        <v>1560</v>
      </c>
      <c r="C39" s="530">
        <v>16322.01</v>
      </c>
      <c r="D39" s="530">
        <f t="shared" si="0"/>
        <v>2.5270560833080546E-2</v>
      </c>
      <c r="F39" s="155" t="s">
        <v>1560</v>
      </c>
      <c r="G39" s="530">
        <v>107.26300000000001</v>
      </c>
      <c r="H39" s="530">
        <f t="shared" si="1"/>
        <v>2.7315129631935386E-2</v>
      </c>
    </row>
    <row r="40" spans="2:8">
      <c r="B40" s="155" t="s">
        <v>1561</v>
      </c>
      <c r="C40" s="530">
        <v>15919.71</v>
      </c>
      <c r="D40" s="530">
        <f t="shared" si="0"/>
        <v>-4.398872943067067E-2</v>
      </c>
      <c r="F40" s="155" t="s">
        <v>1561</v>
      </c>
      <c r="G40" s="530">
        <v>104.411</v>
      </c>
      <c r="H40" s="530">
        <f t="shared" si="1"/>
        <v>5.9547608658149231E-2</v>
      </c>
    </row>
    <row r="41" spans="2:8">
      <c r="B41" s="155" t="s">
        <v>1562</v>
      </c>
      <c r="C41" s="530">
        <v>16652.22</v>
      </c>
      <c r="D41" s="530">
        <f t="shared" si="0"/>
        <v>0.10144948625719818</v>
      </c>
      <c r="F41" s="155" t="s">
        <v>1563</v>
      </c>
      <c r="G41" s="530">
        <v>98.543000000000006</v>
      </c>
      <c r="H41" s="530">
        <f t="shared" si="1"/>
        <v>-8.3227120914698194E-2</v>
      </c>
    </row>
    <row r="42" spans="2:8">
      <c r="B42" s="155" t="s">
        <v>1564</v>
      </c>
      <c r="C42" s="530">
        <v>15118.46</v>
      </c>
      <c r="D42" s="530">
        <f t="shared" si="0"/>
        <v>-2.772363187359117E-2</v>
      </c>
      <c r="F42" s="155" t="s">
        <v>1564</v>
      </c>
      <c r="G42" s="530">
        <v>107.489</v>
      </c>
      <c r="H42" s="530">
        <f t="shared" si="1"/>
        <v>3.837050919172702E-2</v>
      </c>
    </row>
    <row r="43" spans="2:8">
      <c r="B43" s="155" t="s">
        <v>1565</v>
      </c>
      <c r="C43" s="530">
        <v>15549.55</v>
      </c>
      <c r="D43" s="530">
        <f t="shared" si="0"/>
        <v>-3.1159557996591869E-2</v>
      </c>
      <c r="F43" s="155" t="s">
        <v>1566</v>
      </c>
      <c r="G43" s="530">
        <v>103.517</v>
      </c>
      <c r="H43" s="530">
        <f t="shared" si="1"/>
        <v>-9.325263001147488E-2</v>
      </c>
    </row>
    <row r="44" spans="2:8">
      <c r="B44" s="155" t="s">
        <v>1567</v>
      </c>
      <c r="C44" s="530">
        <v>16049.65</v>
      </c>
      <c r="D44" s="530">
        <f t="shared" si="0"/>
        <v>-7.5103786567332742E-2</v>
      </c>
      <c r="F44" s="155" t="s">
        <v>1567</v>
      </c>
      <c r="G44" s="530">
        <v>114.163</v>
      </c>
      <c r="H44" s="530">
        <f t="shared" si="1"/>
        <v>-0.10574015760367228</v>
      </c>
    </row>
    <row r="45" spans="2:8">
      <c r="B45" s="155" t="s">
        <v>1568</v>
      </c>
      <c r="C45" s="530">
        <v>17352.919999999998</v>
      </c>
      <c r="D45" s="530">
        <f t="shared" si="0"/>
        <v>-0.12619146530909253</v>
      </c>
      <c r="F45" s="155" t="s">
        <v>1568</v>
      </c>
      <c r="G45" s="530">
        <v>127.66200000000001</v>
      </c>
      <c r="H45" s="530">
        <f t="shared" si="1"/>
        <v>1.1969687361278458E-2</v>
      </c>
    </row>
    <row r="46" spans="2:8">
      <c r="B46" s="155" t="s">
        <v>1569</v>
      </c>
      <c r="C46" s="530">
        <v>19858.95</v>
      </c>
      <c r="D46" s="530">
        <f t="shared" si="0"/>
        <v>-3.651958501199315E-2</v>
      </c>
      <c r="F46" s="155" t="s">
        <v>1570</v>
      </c>
      <c r="G46" s="530">
        <v>126.152</v>
      </c>
      <c r="H46" s="530">
        <f t="shared" si="1"/>
        <v>-7.5680098179586874E-3</v>
      </c>
    </row>
    <row r="47" spans="2:8">
      <c r="B47" s="155" t="s">
        <v>1571</v>
      </c>
      <c r="C47" s="530">
        <v>20611.68</v>
      </c>
      <c r="D47" s="530">
        <f t="shared" si="0"/>
        <v>-3.8423086414972718E-2</v>
      </c>
      <c r="F47" s="155" t="s">
        <v>1571</v>
      </c>
      <c r="G47" s="530">
        <v>127.114</v>
      </c>
      <c r="H47" s="530">
        <f t="shared" si="1"/>
        <v>-1.21006287353016E-2</v>
      </c>
    </row>
    <row r="48" spans="2:8">
      <c r="B48" s="155" t="s">
        <v>1572</v>
      </c>
      <c r="C48" s="530">
        <v>21435.29</v>
      </c>
      <c r="D48" s="530">
        <f t="shared" si="0"/>
        <v>3.9067639067639215E-2</v>
      </c>
      <c r="F48" s="155" t="s">
        <v>1572</v>
      </c>
      <c r="G48" s="530">
        <v>128.67099999999999</v>
      </c>
      <c r="H48" s="530">
        <f t="shared" si="1"/>
        <v>3.6113191064519601E-3</v>
      </c>
    </row>
    <row r="49" spans="2:8">
      <c r="B49" s="155" t="s">
        <v>1573</v>
      </c>
      <c r="C49" s="530">
        <v>20629.349999999999</v>
      </c>
      <c r="D49" s="530">
        <f t="shared" si="0"/>
        <v>2.9171418565181018E-2</v>
      </c>
      <c r="F49" s="155" t="s">
        <v>1573</v>
      </c>
      <c r="G49" s="530">
        <v>128.208</v>
      </c>
      <c r="H49" s="530">
        <f t="shared" si="1"/>
        <v>1.6853977142041288E-2</v>
      </c>
    </row>
    <row r="50" spans="2:8">
      <c r="B50" s="155" t="s">
        <v>1574</v>
      </c>
      <c r="C50" s="530">
        <v>20044.62</v>
      </c>
      <c r="D50" s="530">
        <f t="shared" si="0"/>
        <v>-3.5825451515940077E-2</v>
      </c>
      <c r="F50" s="155" t="s">
        <v>1574</v>
      </c>
      <c r="G50" s="530">
        <v>126.083</v>
      </c>
      <c r="H50" s="530">
        <f t="shared" si="1"/>
        <v>2.9980475929844097E-2</v>
      </c>
    </row>
    <row r="51" spans="2:8">
      <c r="B51" s="155" t="s">
        <v>1575</v>
      </c>
      <c r="C51" s="530">
        <v>20789.41</v>
      </c>
      <c r="D51" s="530">
        <f t="shared" si="0"/>
        <v>-4.0848377308384531E-2</v>
      </c>
      <c r="F51" s="155" t="s">
        <v>1575</v>
      </c>
      <c r="G51" s="530">
        <v>122.413</v>
      </c>
      <c r="H51" s="530">
        <f t="shared" si="1"/>
        <v>1.1351713084212456E-2</v>
      </c>
    </row>
    <row r="52" spans="2:8">
      <c r="B52" s="155" t="s">
        <v>1576</v>
      </c>
      <c r="C52" s="530">
        <v>21674.79</v>
      </c>
      <c r="D52" s="530">
        <f t="shared" si="0"/>
        <v>6.7110713747670081E-2</v>
      </c>
      <c r="F52" s="155" t="s">
        <v>1577</v>
      </c>
      <c r="G52" s="530">
        <v>121.039</v>
      </c>
      <c r="H52" s="530">
        <f t="shared" si="1"/>
        <v>-4.7526250441961571E-3</v>
      </c>
    </row>
    <row r="53" spans="2:8">
      <c r="B53" s="155" t="s">
        <v>1578</v>
      </c>
      <c r="C53" s="530">
        <v>20311.66</v>
      </c>
      <c r="D53" s="530">
        <f t="shared" si="0"/>
        <v>3.4857215641319605E-2</v>
      </c>
      <c r="F53" s="155" t="s">
        <v>1578</v>
      </c>
      <c r="G53" s="530">
        <v>121.617</v>
      </c>
      <c r="H53" s="530">
        <f t="shared" si="1"/>
        <v>1.0032472655698399E-2</v>
      </c>
    </row>
    <row r="54" spans="2:8">
      <c r="B54" s="155" t="s">
        <v>1579</v>
      </c>
      <c r="C54" s="530">
        <v>19627.5</v>
      </c>
      <c r="D54" s="530">
        <f t="shared" si="0"/>
        <v>-2.8685871740511737E-2</v>
      </c>
      <c r="F54" s="155" t="s">
        <v>1579</v>
      </c>
      <c r="G54" s="530">
        <v>120.40900000000001</v>
      </c>
      <c r="H54" s="530">
        <f t="shared" si="1"/>
        <v>3.7159223050088341E-2</v>
      </c>
    </row>
    <row r="55" spans="2:8">
      <c r="B55" s="155" t="s">
        <v>1580</v>
      </c>
      <c r="C55" s="530">
        <v>20207.16</v>
      </c>
      <c r="D55" s="530">
        <f t="shared" si="0"/>
        <v>-3.7642468934485751E-2</v>
      </c>
      <c r="F55" s="155" t="s">
        <v>1581</v>
      </c>
      <c r="G55" s="530">
        <v>116.095</v>
      </c>
      <c r="H55" s="530">
        <f t="shared" si="1"/>
        <v>5.8343589042344712E-2</v>
      </c>
    </row>
    <row r="56" spans="2:8">
      <c r="B56" s="155" t="s">
        <v>1582</v>
      </c>
      <c r="C56" s="530">
        <v>20997.56</v>
      </c>
      <c r="D56" s="530">
        <f t="shared" si="0"/>
        <v>-7.4097150842250548E-2</v>
      </c>
      <c r="F56" s="155" t="s">
        <v>1582</v>
      </c>
      <c r="G56" s="530">
        <v>109.69499999999999</v>
      </c>
      <c r="H56" s="530">
        <f t="shared" si="1"/>
        <v>-1.9100249483595899E-2</v>
      </c>
    </row>
    <row r="57" spans="2:8">
      <c r="B57" s="155" t="s">
        <v>1583</v>
      </c>
      <c r="C57" s="530">
        <v>22677.93</v>
      </c>
      <c r="D57" s="530">
        <f t="shared" si="0"/>
        <v>-3.9559935998699003E-2</v>
      </c>
      <c r="F57" s="155" t="s">
        <v>1583</v>
      </c>
      <c r="G57" s="530">
        <v>111.831</v>
      </c>
      <c r="H57" s="530">
        <f t="shared" si="1"/>
        <v>4.1218204163718353E-2</v>
      </c>
    </row>
    <row r="58" spans="2:8">
      <c r="B58" s="155" t="s">
        <v>1584</v>
      </c>
      <c r="C58" s="530">
        <v>23612.02</v>
      </c>
      <c r="D58" s="530">
        <f t="shared" si="0"/>
        <v>3.8861354011989313E-2</v>
      </c>
      <c r="F58" s="155" t="s">
        <v>1585</v>
      </c>
      <c r="G58" s="530">
        <v>107.404</v>
      </c>
      <c r="H58" s="530">
        <f t="shared" si="1"/>
        <v>-7.4484798077811831E-3</v>
      </c>
    </row>
    <row r="59" spans="2:8">
      <c r="B59" s="155" t="s">
        <v>1586</v>
      </c>
      <c r="C59" s="530">
        <v>22728.75</v>
      </c>
      <c r="D59" s="530">
        <f t="shared" si="0"/>
        <v>3.5569414531664956E-2</v>
      </c>
      <c r="F59" s="155" t="s">
        <v>1586</v>
      </c>
      <c r="G59" s="530">
        <v>108.21</v>
      </c>
      <c r="H59" s="530">
        <f t="shared" si="1"/>
        <v>3.9351473879342569E-2</v>
      </c>
    </row>
    <row r="60" spans="2:8">
      <c r="B60" s="155" t="s">
        <v>1587</v>
      </c>
      <c r="C60" s="530">
        <v>21948.07</v>
      </c>
      <c r="D60" s="530">
        <f t="shared" si="0"/>
        <v>0.12708471235758068</v>
      </c>
      <c r="F60" s="155" t="s">
        <v>1587</v>
      </c>
      <c r="G60" s="530">
        <v>104.113</v>
      </c>
      <c r="H60" s="530">
        <f t="shared" si="1"/>
        <v>-2.9400497988891772E-3</v>
      </c>
    </row>
    <row r="61" spans="2:8">
      <c r="B61" s="155" t="s">
        <v>1588</v>
      </c>
      <c r="C61" s="530">
        <v>19473.310000000001</v>
      </c>
      <c r="D61" s="530">
        <f t="shared" si="0"/>
        <v>-2.2022597632963659E-2</v>
      </c>
      <c r="F61" s="155" t="s">
        <v>1589</v>
      </c>
      <c r="G61" s="530">
        <v>104.42</v>
      </c>
      <c r="H61" s="530">
        <f t="shared" si="1"/>
        <v>-1.5565046054058063E-2</v>
      </c>
    </row>
    <row r="62" spans="2:8">
      <c r="B62" s="155" t="s">
        <v>1590</v>
      </c>
      <c r="C62" s="530">
        <v>19911.82</v>
      </c>
      <c r="D62" s="530">
        <f t="shared" si="0"/>
        <v>1.4375716709892128E-2</v>
      </c>
      <c r="F62" s="155" t="s">
        <v>1590</v>
      </c>
      <c r="G62" s="530">
        <v>106.071</v>
      </c>
      <c r="H62" s="530">
        <f t="shared" si="1"/>
        <v>0</v>
      </c>
    </row>
    <row r="63" spans="2:8">
      <c r="B63" s="155" t="s">
        <v>1591</v>
      </c>
      <c r="C63" s="530">
        <v>19629.63</v>
      </c>
      <c r="D63" s="530">
        <f t="shared" si="0"/>
        <v>7.0954384012308358E-2</v>
      </c>
      <c r="F63" s="155" t="s">
        <v>1591</v>
      </c>
      <c r="G63" s="530">
        <v>106.071</v>
      </c>
      <c r="H63" s="530">
        <f t="shared" si="1"/>
        <v>5.2887049224263682E-2</v>
      </c>
    </row>
    <row r="64" spans="2:8">
      <c r="B64" s="155" t="s">
        <v>1592</v>
      </c>
      <c r="C64" s="530">
        <v>18329.099999999999</v>
      </c>
      <c r="D64" s="530">
        <f t="shared" si="0"/>
        <v>-0.11441259190292763</v>
      </c>
      <c r="F64" s="155" t="s">
        <v>1592</v>
      </c>
      <c r="G64" s="530">
        <v>100.74299999999999</v>
      </c>
      <c r="H64" s="530">
        <f t="shared" si="1"/>
        <v>-5.8450236922530596E-2</v>
      </c>
    </row>
    <row r="65" spans="2:8">
      <c r="B65" s="155" t="s">
        <v>1593</v>
      </c>
      <c r="C65" s="530">
        <v>20697.11</v>
      </c>
      <c r="D65" s="530">
        <f t="shared" si="0"/>
        <v>-5.7641680819192076E-2</v>
      </c>
      <c r="F65" s="155" t="s">
        <v>1593</v>
      </c>
      <c r="G65" s="530">
        <v>106.997</v>
      </c>
      <c r="H65" s="530">
        <f t="shared" si="1"/>
        <v>6.7770392990439632E-2</v>
      </c>
    </row>
    <row r="66" spans="2:8">
      <c r="B66" s="155" t="s">
        <v>1594</v>
      </c>
      <c r="C66" s="530">
        <v>21963.1</v>
      </c>
      <c r="D66" s="530">
        <f t="shared" si="0"/>
        <v>0.16337496384829953</v>
      </c>
      <c r="F66" s="155" t="s">
        <v>1595</v>
      </c>
      <c r="G66" s="530">
        <v>100.206</v>
      </c>
      <c r="H66" s="530">
        <f t="shared" si="1"/>
        <v>4.8300536672629679E-2</v>
      </c>
    </row>
    <row r="67" spans="2:8">
      <c r="B67" s="155" t="s">
        <v>1596</v>
      </c>
      <c r="C67" s="530">
        <v>18878.78</v>
      </c>
      <c r="D67" s="530">
        <f t="shared" si="0"/>
        <v>-0.12460731139238634</v>
      </c>
      <c r="F67" s="155" t="s">
        <v>1596</v>
      </c>
      <c r="G67" s="530">
        <v>95.588999999999999</v>
      </c>
      <c r="H67" s="530">
        <f t="shared" si="1"/>
        <v>5.808264149752107E-3</v>
      </c>
    </row>
    <row r="68" spans="2:8">
      <c r="B68" s="155" t="s">
        <v>1597</v>
      </c>
      <c r="C68" s="530">
        <v>21566.07</v>
      </c>
      <c r="D68" s="530">
        <f t="shared" si="0"/>
        <v>9.828011704900419E-2</v>
      </c>
      <c r="F68" s="155" t="s">
        <v>1597</v>
      </c>
      <c r="G68" s="530">
        <v>95.037000000000006</v>
      </c>
      <c r="H68" s="530">
        <f t="shared" si="1"/>
        <v>4.6328815686619951E-2</v>
      </c>
    </row>
    <row r="69" spans="2:8">
      <c r="B69" s="155" t="s">
        <v>1598</v>
      </c>
      <c r="C69" s="530">
        <v>19636.22</v>
      </c>
      <c r="D69" s="530">
        <f t="shared" si="0"/>
        <v>-0.10571654592578661</v>
      </c>
      <c r="F69" s="155" t="s">
        <v>1599</v>
      </c>
      <c r="G69" s="530">
        <v>90.828999999999994</v>
      </c>
      <c r="H69" s="530">
        <f t="shared" si="1"/>
        <v>-4.759458099152758E-2</v>
      </c>
    </row>
    <row r="70" spans="2:8">
      <c r="B70" s="155" t="s">
        <v>1600</v>
      </c>
      <c r="C70" s="530">
        <v>21957.49</v>
      </c>
      <c r="D70" s="530">
        <f t="shared" si="0"/>
        <v>-3.876336516808665E-2</v>
      </c>
      <c r="F70" s="155" t="s">
        <v>1600</v>
      </c>
      <c r="G70" s="530">
        <v>95.367999999999995</v>
      </c>
      <c r="H70" s="530">
        <f t="shared" si="1"/>
        <v>-4.2364967315011048E-2</v>
      </c>
    </row>
    <row r="71" spans="2:8">
      <c r="B71" s="155" t="s">
        <v>1601</v>
      </c>
      <c r="C71" s="530">
        <v>22842.959999999999</v>
      </c>
      <c r="D71" s="530">
        <f t="shared" si="0"/>
        <v>-1.9421157745678208E-3</v>
      </c>
      <c r="F71" s="155" t="s">
        <v>1601</v>
      </c>
      <c r="G71" s="530">
        <v>99.587000000000003</v>
      </c>
      <c r="H71" s="530">
        <f t="shared" si="1"/>
        <v>-2.8296271722267119E-2</v>
      </c>
    </row>
    <row r="72" spans="2:8">
      <c r="B72" s="155" t="s">
        <v>1602</v>
      </c>
      <c r="C72" s="530">
        <v>22887.41</v>
      </c>
      <c r="D72" s="530">
        <f t="shared" si="0"/>
        <v>-2.0841452912288894E-2</v>
      </c>
      <c r="F72" s="155" t="s">
        <v>1602</v>
      </c>
      <c r="G72" s="530">
        <v>102.48699999999999</v>
      </c>
      <c r="H72" s="530">
        <f t="shared" si="1"/>
        <v>7.8064774246433544E-5</v>
      </c>
    </row>
    <row r="73" spans="2:8">
      <c r="B73" s="155" t="s">
        <v>1603</v>
      </c>
      <c r="C73" s="530">
        <v>23374.57</v>
      </c>
      <c r="D73" s="530">
        <f t="shared" ref="D73:D136" si="2">(C73/C74)-1</f>
        <v>0.12084058596465996</v>
      </c>
      <c r="F73" s="155" t="s">
        <v>1603</v>
      </c>
      <c r="G73" s="530">
        <v>102.479</v>
      </c>
      <c r="H73" s="530">
        <f t="shared" ref="H73:H78" si="3">(G73/G74)-1</f>
        <v>6.1066004300145416E-3</v>
      </c>
    </row>
    <row r="74" spans="2:8">
      <c r="B74" s="155" t="s">
        <v>1604</v>
      </c>
      <c r="C74" s="530">
        <v>20854.5</v>
      </c>
      <c r="D74" s="530">
        <f t="shared" si="2"/>
        <v>8.4989123835319091E-2</v>
      </c>
      <c r="F74" s="155" t="s">
        <v>1604</v>
      </c>
      <c r="G74" s="530">
        <v>101.857</v>
      </c>
      <c r="H74" s="530">
        <f t="shared" si="3"/>
        <v>-5.7115350791931641E-2</v>
      </c>
    </row>
    <row r="75" spans="2:8">
      <c r="B75" s="155" t="s">
        <v>1605</v>
      </c>
      <c r="C75" s="530">
        <v>19220.93</v>
      </c>
      <c r="D75" s="530">
        <f t="shared" si="2"/>
        <v>7.5756575117980507E-2</v>
      </c>
      <c r="F75" s="155" t="s">
        <v>1606</v>
      </c>
      <c r="G75" s="530">
        <v>108.027</v>
      </c>
      <c r="H75" s="530">
        <f t="shared" si="3"/>
        <v>4.921021786451707E-3</v>
      </c>
    </row>
    <row r="76" spans="2:8">
      <c r="B76" s="155" t="s">
        <v>1607</v>
      </c>
      <c r="C76" s="530">
        <v>17867.36</v>
      </c>
      <c r="D76" s="530">
        <f t="shared" si="2"/>
        <v>0.17910452685977285</v>
      </c>
      <c r="F76" s="155" t="s">
        <v>1607</v>
      </c>
      <c r="G76" s="530">
        <v>107.498</v>
      </c>
      <c r="H76" s="530">
        <f t="shared" si="3"/>
        <v>-8.7965182753659832E-3</v>
      </c>
    </row>
    <row r="77" spans="2:8">
      <c r="B77" s="155" t="s">
        <v>1608</v>
      </c>
      <c r="C77" s="530">
        <v>15153.33</v>
      </c>
      <c r="D77" s="530">
        <f t="shared" si="2"/>
        <v>6.1500989816033025E-2</v>
      </c>
      <c r="F77" s="155" t="s">
        <v>1608</v>
      </c>
      <c r="G77" s="530">
        <v>108.452</v>
      </c>
      <c r="H77" s="530">
        <f t="shared" si="3"/>
        <v>8.276591921087828E-2</v>
      </c>
    </row>
    <row r="78" spans="2:8">
      <c r="B78" s="155" t="s">
        <v>1609</v>
      </c>
      <c r="C78" s="530">
        <v>14275.38</v>
      </c>
      <c r="D78" s="530">
        <f t="shared" si="2"/>
        <v>2.076294546804025E-2</v>
      </c>
      <c r="F78" s="155" t="s">
        <v>1610</v>
      </c>
      <c r="G78" s="530">
        <v>100.16200000000001</v>
      </c>
      <c r="H78" s="530">
        <f t="shared" si="3"/>
        <v>-1.9067858856711806E-2</v>
      </c>
    </row>
    <row r="79" spans="2:8">
      <c r="B79" s="155" t="s">
        <v>1611</v>
      </c>
      <c r="C79" s="530">
        <v>13985.01</v>
      </c>
      <c r="D79" s="530">
        <f t="shared" si="2"/>
        <v>-3.4671723045893166E-2</v>
      </c>
      <c r="F79" s="155" t="s">
        <v>1611</v>
      </c>
      <c r="G79" s="530">
        <v>102.10899999999999</v>
      </c>
      <c r="H79" s="530"/>
    </row>
    <row r="80" spans="2:8">
      <c r="B80" s="155" t="s">
        <v>1612</v>
      </c>
      <c r="C80" s="530">
        <v>14487.31</v>
      </c>
      <c r="D80" s="530">
        <f t="shared" si="2"/>
        <v>-8.5527569930047953E-2</v>
      </c>
    </row>
    <row r="81" spans="2:4">
      <c r="B81" s="155" t="s">
        <v>1613</v>
      </c>
      <c r="C81" s="530">
        <v>15842.26</v>
      </c>
      <c r="D81" s="530">
        <f t="shared" si="2"/>
        <v>4.7145217793641336E-2</v>
      </c>
    </row>
    <row r="82" spans="2:4">
      <c r="B82" s="155" t="s">
        <v>1614</v>
      </c>
      <c r="C82" s="530">
        <v>15129</v>
      </c>
      <c r="D82" s="530">
        <f t="shared" si="2"/>
        <v>8.0463808854532637E-2</v>
      </c>
    </row>
    <row r="83" spans="2:4">
      <c r="B83" s="155" t="s">
        <v>1615</v>
      </c>
      <c r="C83" s="530">
        <v>14002.32</v>
      </c>
      <c r="D83" s="530">
        <f t="shared" si="2"/>
        <v>-3.0313606947344307E-2</v>
      </c>
    </row>
    <row r="84" spans="2:4">
      <c r="B84" s="155" t="s">
        <v>1616</v>
      </c>
      <c r="C84" s="530">
        <v>14440.05</v>
      </c>
      <c r="D84" s="530">
        <f t="shared" si="2"/>
        <v>1.9259274944943172E-2</v>
      </c>
    </row>
    <row r="85" spans="2:4">
      <c r="B85" s="155" t="s">
        <v>1617</v>
      </c>
      <c r="C85" s="530">
        <v>14167.2</v>
      </c>
      <c r="D85" s="530">
        <f t="shared" si="2"/>
        <v>2.703659140774306E-3</v>
      </c>
    </row>
    <row r="86" spans="2:4">
      <c r="B86" s="155" t="s">
        <v>1618</v>
      </c>
      <c r="C86" s="530">
        <v>14129</v>
      </c>
      <c r="D86" s="530">
        <f t="shared" si="2"/>
        <v>-5.9478497263877328E-3</v>
      </c>
    </row>
    <row r="87" spans="2:4">
      <c r="B87" s="155" t="s">
        <v>1619</v>
      </c>
      <c r="C87" s="530">
        <v>14213.54</v>
      </c>
      <c r="D87" s="530">
        <f t="shared" si="2"/>
        <v>-6.1453229619260141E-2</v>
      </c>
    </row>
    <row r="88" spans="2:4">
      <c r="B88" s="155" t="s">
        <v>1620</v>
      </c>
      <c r="C88" s="530">
        <v>15144.2</v>
      </c>
      <c r="D88" s="530">
        <f t="shared" si="2"/>
        <v>8.5187218119463726E-2</v>
      </c>
    </row>
    <row r="89" spans="2:4">
      <c r="B89" s="155" t="s">
        <v>1621</v>
      </c>
      <c r="C89" s="530">
        <v>13955.38</v>
      </c>
      <c r="D89" s="530">
        <f t="shared" si="2"/>
        <v>-9.6962678168212024E-3</v>
      </c>
    </row>
    <row r="90" spans="2:4">
      <c r="B90" s="155" t="s">
        <v>1622</v>
      </c>
      <c r="C90" s="530">
        <v>14092.02</v>
      </c>
      <c r="D90" s="530">
        <f t="shared" si="2"/>
        <v>7.9046226176711532E-2</v>
      </c>
    </row>
    <row r="91" spans="2:4">
      <c r="B91" s="155" t="s">
        <v>1623</v>
      </c>
      <c r="C91" s="530">
        <v>13059.7</v>
      </c>
      <c r="D91" s="530">
        <f t="shared" si="2"/>
        <v>-2.4832982011264715E-2</v>
      </c>
    </row>
    <row r="92" spans="2:4">
      <c r="B92" s="155" t="s">
        <v>1624</v>
      </c>
      <c r="C92" s="530">
        <v>13392.27</v>
      </c>
      <c r="D92" s="530">
        <f t="shared" si="2"/>
        <v>0.34201974308536065</v>
      </c>
    </row>
    <row r="93" spans="2:4">
      <c r="B93" s="155" t="s">
        <v>1625</v>
      </c>
      <c r="C93" s="530">
        <v>9979.19</v>
      </c>
      <c r="D93" s="530">
        <f t="shared" si="2"/>
        <v>8.0273662673948643E-2</v>
      </c>
    </row>
    <row r="94" spans="2:4">
      <c r="B94" s="155" t="s">
        <v>1626</v>
      </c>
      <c r="C94" s="530">
        <v>9237.65</v>
      </c>
      <c r="D94" s="530">
        <f t="shared" si="2"/>
        <v>0.38459797473515067</v>
      </c>
    </row>
    <row r="95" spans="2:4">
      <c r="B95" s="155" t="s">
        <v>1627</v>
      </c>
      <c r="C95" s="530">
        <v>6671.72</v>
      </c>
      <c r="D95" s="530">
        <f t="shared" si="2"/>
        <v>-3.3838783906484649E-2</v>
      </c>
    </row>
    <row r="96" spans="2:4">
      <c r="B96" s="155" t="s">
        <v>1628</v>
      </c>
      <c r="C96" s="530">
        <v>6905.39</v>
      </c>
      <c r="D96" s="530">
        <f t="shared" si="2"/>
        <v>-2.0327239039421574E-2</v>
      </c>
    </row>
    <row r="97" spans="2:4">
      <c r="B97" s="155" t="s">
        <v>1629</v>
      </c>
      <c r="C97" s="530">
        <v>7048.67</v>
      </c>
      <c r="D97" s="530">
        <f t="shared" si="2"/>
        <v>-4.8184457497805644E-2</v>
      </c>
    </row>
    <row r="98" spans="2:4">
      <c r="B98" s="155" t="s">
        <v>1630</v>
      </c>
      <c r="C98" s="530">
        <v>7405.5</v>
      </c>
      <c r="D98" s="530">
        <f t="shared" si="2"/>
        <v>4.9675125867465031E-2</v>
      </c>
    </row>
    <row r="99" spans="2:4">
      <c r="B99" s="155" t="s">
        <v>1631</v>
      </c>
      <c r="C99" s="530">
        <v>7055.04</v>
      </c>
      <c r="D99" s="530">
        <f t="shared" si="2"/>
        <v>-0.37279724619102061</v>
      </c>
    </row>
    <row r="100" spans="2:4">
      <c r="B100" s="155" t="s">
        <v>1632</v>
      </c>
      <c r="C100" s="530">
        <v>11248.42</v>
      </c>
      <c r="D100" s="530">
        <f t="shared" si="2"/>
        <v>-0.15345341684089164</v>
      </c>
    </row>
    <row r="101" spans="2:4">
      <c r="B101" s="155" t="s">
        <v>1633</v>
      </c>
      <c r="C101" s="530">
        <v>13287.42</v>
      </c>
      <c r="D101" s="530">
        <f t="shared" si="2"/>
        <v>-3.4726797888917638E-2</v>
      </c>
    </row>
    <row r="102" spans="2:4">
      <c r="B102" s="155" t="s">
        <v>1634</v>
      </c>
      <c r="C102" s="530">
        <v>13765.45</v>
      </c>
      <c r="D102" s="530">
        <f t="shared" si="2"/>
        <v>-0.15518133395360356</v>
      </c>
    </row>
    <row r="103" spans="2:4">
      <c r="B103" s="155" t="s">
        <v>1635</v>
      </c>
      <c r="C103" s="530">
        <v>16293.97</v>
      </c>
      <c r="D103" s="530">
        <f t="shared" si="2"/>
        <v>-4.8848885544683029E-2</v>
      </c>
    </row>
    <row r="104" spans="2:4">
      <c r="B104" s="155" t="s">
        <v>1636</v>
      </c>
      <c r="C104" s="530">
        <v>17130.79</v>
      </c>
      <c r="D104" s="530">
        <f t="shared" si="2"/>
        <v>-1.7162996545025289E-2</v>
      </c>
    </row>
    <row r="105" spans="2:4">
      <c r="B105" s="155" t="s">
        <v>1637</v>
      </c>
      <c r="C105" s="530">
        <v>17429.939999999999</v>
      </c>
      <c r="D105" s="530">
        <f t="shared" si="2"/>
        <v>2.44256352419292E-3</v>
      </c>
    </row>
    <row r="106" spans="2:4">
      <c r="B106" s="155" t="s">
        <v>1638</v>
      </c>
      <c r="C106" s="530">
        <v>17387.47</v>
      </c>
      <c r="D106" s="530">
        <f t="shared" si="2"/>
        <v>-2.1358207997550394E-2</v>
      </c>
    </row>
    <row r="107" spans="2:4">
      <c r="B107" s="155" t="s">
        <v>1639</v>
      </c>
      <c r="C107" s="530">
        <v>17766.939999999999</v>
      </c>
      <c r="D107" s="530">
        <f t="shared" si="2"/>
        <v>0.18367512814807219</v>
      </c>
    </row>
    <row r="108" spans="2:4">
      <c r="B108" s="155" t="s">
        <v>1640</v>
      </c>
      <c r="C108" s="530">
        <v>15009.98</v>
      </c>
      <c r="D108" s="530">
        <f t="shared" si="2"/>
        <v>-0.14350015035843522</v>
      </c>
    </row>
    <row r="109" spans="2:4">
      <c r="B109" s="155" t="s">
        <v>1641</v>
      </c>
      <c r="C109" s="530">
        <v>17524.79</v>
      </c>
      <c r="D109" s="530">
        <f t="shared" si="2"/>
        <v>-4.0051555737657285E-2</v>
      </c>
    </row>
    <row r="110" spans="2:4">
      <c r="B110" s="155" t="s">
        <v>1642</v>
      </c>
      <c r="C110" s="530">
        <v>18255.97</v>
      </c>
      <c r="D110" s="530">
        <f t="shared" si="2"/>
        <v>-0.15856642639495178</v>
      </c>
    </row>
    <row r="111" spans="2:4">
      <c r="B111" s="155" t="s">
        <v>1643</v>
      </c>
      <c r="C111" s="530">
        <v>21696.27</v>
      </c>
      <c r="D111" s="530">
        <f t="shared" si="2"/>
        <v>-5.8272206398257698E-3</v>
      </c>
    </row>
    <row r="112" spans="2:4">
      <c r="B112" s="155" t="s">
        <v>1644</v>
      </c>
      <c r="C112" s="530">
        <v>21823.439999999999</v>
      </c>
      <c r="D112" s="530">
        <f t="shared" si="2"/>
        <v>4.6875554655847251E-2</v>
      </c>
    </row>
    <row r="113" spans="2:4">
      <c r="B113" s="155" t="s">
        <v>1645</v>
      </c>
      <c r="C113" s="530">
        <v>20846.259999999998</v>
      </c>
      <c r="D113" s="530">
        <f t="shared" si="2"/>
        <v>-0.10982540480319347</v>
      </c>
    </row>
    <row r="114" spans="2:4">
      <c r="B114" s="155" t="s">
        <v>1646</v>
      </c>
      <c r="C114" s="530">
        <v>23418.17</v>
      </c>
      <c r="D114" s="530">
        <f t="shared" si="2"/>
        <v>4.7047961405532357E-2</v>
      </c>
    </row>
    <row r="115" spans="2:4">
      <c r="B115" s="155" t="s">
        <v>1647</v>
      </c>
      <c r="C115" s="530">
        <v>22365.9</v>
      </c>
      <c r="D115" s="530">
        <f t="shared" si="2"/>
        <v>0.1111006234630767</v>
      </c>
    </row>
    <row r="116" spans="2:4">
      <c r="B116" s="155" t="s">
        <v>1648</v>
      </c>
      <c r="C116" s="530">
        <v>20129.5</v>
      </c>
      <c r="D116" s="530">
        <f t="shared" si="2"/>
        <v>-2.6374162143442348E-2</v>
      </c>
    </row>
    <row r="117" spans="2:4">
      <c r="B117" s="155" t="s">
        <v>1649</v>
      </c>
      <c r="C117" s="530">
        <v>20674.78</v>
      </c>
      <c r="D117" s="530">
        <f t="shared" si="2"/>
        <v>0.20532833668166517</v>
      </c>
    </row>
    <row r="118" spans="2:4">
      <c r="B118" s="155" t="s">
        <v>1650</v>
      </c>
      <c r="C118" s="530">
        <v>17152.82</v>
      </c>
      <c r="D118" s="530">
        <f t="shared" si="2"/>
        <v>0.13214404048911144</v>
      </c>
    </row>
    <row r="119" spans="2:4">
      <c r="B119" s="155" t="s">
        <v>1651</v>
      </c>
      <c r="C119" s="530">
        <v>15150.74</v>
      </c>
      <c r="D119" s="530">
        <f t="shared" si="2"/>
        <v>0.11126481430681734</v>
      </c>
    </row>
    <row r="120" spans="2:4">
      <c r="B120" s="155" t="s">
        <v>1652</v>
      </c>
      <c r="C120" s="530">
        <v>13633.78</v>
      </c>
      <c r="D120" s="530">
        <f t="shared" si="2"/>
        <v>5.8178233805746604E-2</v>
      </c>
    </row>
    <row r="121" spans="2:4">
      <c r="B121" s="155" t="s">
        <v>1653</v>
      </c>
      <c r="C121" s="530">
        <v>12884.2</v>
      </c>
      <c r="D121" s="530">
        <f t="shared" si="2"/>
        <v>0.12208151424657365</v>
      </c>
    </row>
    <row r="122" spans="2:4">
      <c r="B122" s="155" t="s">
        <v>1654</v>
      </c>
      <c r="C122" s="530">
        <v>11482.41</v>
      </c>
      <c r="D122" s="530">
        <f t="shared" si="2"/>
        <v>7.3670302790021625E-2</v>
      </c>
    </row>
    <row r="123" spans="2:4">
      <c r="B123" s="155" t="s">
        <v>1655</v>
      </c>
      <c r="C123" s="530">
        <v>10694.54</v>
      </c>
      <c r="D123" s="530">
        <f t="shared" si="2"/>
        <v>2.9277194009050822E-2</v>
      </c>
    </row>
    <row r="124" spans="2:4">
      <c r="B124" s="155" t="s">
        <v>1656</v>
      </c>
      <c r="C124" s="530">
        <v>10390.34</v>
      </c>
      <c r="D124" s="530">
        <f t="shared" si="2"/>
        <v>3.779383636554301E-2</v>
      </c>
    </row>
    <row r="125" spans="2:4">
      <c r="B125" s="155" t="s">
        <v>1657</v>
      </c>
      <c r="C125" s="530">
        <v>10011.950000000001</v>
      </c>
      <c r="D125" s="530">
        <f t="shared" si="2"/>
        <v>0.11570045321378397</v>
      </c>
    </row>
    <row r="126" spans="2:4">
      <c r="B126" s="155" t="s">
        <v>1658</v>
      </c>
      <c r="C126" s="530">
        <v>8973.69</v>
      </c>
      <c r="D126" s="530">
        <f t="shared" si="2"/>
        <v>0.10028323401750905</v>
      </c>
    </row>
    <row r="127" spans="2:4">
      <c r="B127" s="155" t="s">
        <v>1659</v>
      </c>
      <c r="C127" s="530">
        <v>8155.8</v>
      </c>
      <c r="D127" s="530">
        <f t="shared" si="2"/>
        <v>0.13091697207442943</v>
      </c>
    </row>
    <row r="128" spans="2:4">
      <c r="B128" s="155" t="s">
        <v>1660</v>
      </c>
      <c r="C128" s="530">
        <v>7211.67</v>
      </c>
      <c r="D128" s="530">
        <f t="shared" si="2"/>
        <v>9.6249153007452737E-3</v>
      </c>
    </row>
    <row r="129" spans="2:4">
      <c r="B129" s="155" t="s">
        <v>1661</v>
      </c>
      <c r="C129" s="530">
        <v>7142.92</v>
      </c>
      <c r="D129" s="530">
        <f t="shared" si="2"/>
        <v>0.20647242631534501</v>
      </c>
    </row>
    <row r="130" spans="2:4">
      <c r="B130" s="155" t="s">
        <v>1662</v>
      </c>
      <c r="C130" s="530">
        <v>5920.5</v>
      </c>
      <c r="D130" s="530">
        <f t="shared" si="2"/>
        <v>-2.6342448541939456E-2</v>
      </c>
    </row>
    <row r="131" spans="2:4">
      <c r="B131" s="155" t="s">
        <v>1663</v>
      </c>
      <c r="C131" s="530">
        <v>6080.68</v>
      </c>
      <c r="D131" s="530">
        <f t="shared" si="2"/>
        <v>7.9376800609211706E-2</v>
      </c>
    </row>
    <row r="132" spans="2:4">
      <c r="B132" s="155" t="s">
        <v>1664</v>
      </c>
      <c r="C132" s="530">
        <v>5633.51</v>
      </c>
      <c r="D132" s="530">
        <f t="shared" si="2"/>
        <v>0.1730980269665261</v>
      </c>
    </row>
    <row r="133" spans="2:4">
      <c r="B133" s="155" t="s">
        <v>1665</v>
      </c>
      <c r="C133" s="530">
        <v>4802.25</v>
      </c>
      <c r="D133" s="530">
        <f t="shared" si="2"/>
        <v>-4.6093796555628397E-2</v>
      </c>
    </row>
    <row r="134" spans="2:4">
      <c r="B134" s="155" t="s">
        <v>1666</v>
      </c>
      <c r="C134" s="530">
        <v>5034.3</v>
      </c>
      <c r="D134" s="530">
        <f t="shared" si="2"/>
        <v>5.6660404882092896E-2</v>
      </c>
    </row>
    <row r="135" spans="2:4">
      <c r="B135" s="155" t="s">
        <v>1667</v>
      </c>
      <c r="C135" s="530">
        <v>4764.3500000000004</v>
      </c>
      <c r="D135" s="530">
        <f t="shared" si="2"/>
        <v>-6.0439809656407273E-2</v>
      </c>
    </row>
    <row r="136" spans="2:4">
      <c r="B136" s="155" t="s">
        <v>1668</v>
      </c>
      <c r="C136" s="530">
        <v>5070.83</v>
      </c>
      <c r="D136" s="530">
        <f t="shared" si="2"/>
        <v>9.9543341370756488E-2</v>
      </c>
    </row>
    <row r="137" spans="2:4">
      <c r="B137" s="155" t="s">
        <v>1669</v>
      </c>
      <c r="C137" s="530">
        <v>4611.76</v>
      </c>
      <c r="D137" s="530">
        <f t="shared" ref="D137:D143" si="4">(C137/C138)-1</f>
        <v>9.5214007689695457E-2</v>
      </c>
    </row>
    <row r="138" spans="2:4">
      <c r="B138" s="155" t="s">
        <v>1670</v>
      </c>
      <c r="C138" s="530">
        <v>4210.83</v>
      </c>
      <c r="D138" s="530">
        <f t="shared" si="4"/>
        <v>4.2782814562402294E-2</v>
      </c>
    </row>
    <row r="139" spans="2:4">
      <c r="B139" s="155" t="s">
        <v>1671</v>
      </c>
      <c r="C139" s="530">
        <v>4038.07</v>
      </c>
      <c r="D139" s="530">
        <f t="shared" si="4"/>
        <v>2.8718531388363777E-2</v>
      </c>
    </row>
    <row r="140" spans="2:4">
      <c r="B140" s="155" t="s">
        <v>1672</v>
      </c>
      <c r="C140" s="530">
        <v>3925.34</v>
      </c>
      <c r="D140" s="530">
        <f t="shared" si="4"/>
        <v>-1.5289906153340582E-2</v>
      </c>
    </row>
    <row r="141" spans="2:4">
      <c r="B141" s="155" t="s">
        <v>1673</v>
      </c>
      <c r="C141" s="530">
        <v>3986.29</v>
      </c>
      <c r="D141" s="530">
        <f t="shared" si="4"/>
        <v>-4.172265826892807E-2</v>
      </c>
    </row>
    <row r="142" spans="2:4">
      <c r="B142" s="155" t="s">
        <v>1674</v>
      </c>
      <c r="C142" s="530">
        <v>4159.8500000000004</v>
      </c>
      <c r="D142" s="530">
        <f t="shared" si="4"/>
        <v>2.0006081024750877E-2</v>
      </c>
    </row>
    <row r="143" spans="2:4">
      <c r="B143" s="155" t="s">
        <v>1675</v>
      </c>
      <c r="C143" s="530">
        <v>4078.26</v>
      </c>
      <c r="D143" s="530" t="e">
        <f t="shared" si="4"/>
        <v>#DIV/0!</v>
      </c>
    </row>
  </sheetData>
  <mergeCells count="3">
    <mergeCell ref="B3:D3"/>
    <mergeCell ref="F3:H3"/>
    <mergeCell ref="M3:T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R62"/>
  <sheetViews>
    <sheetView showGridLines="0" zoomScaleNormal="100" workbookViewId="0">
      <pane ySplit="4" topLeftCell="A5" activePane="bottomLeft" state="frozen"/>
      <selection pane="bottomLeft" activeCell="F11" sqref="F11"/>
    </sheetView>
  </sheetViews>
  <sheetFormatPr baseColWidth="10" defaultRowHeight="12.75"/>
  <cols>
    <col min="1" max="1" width="7.42578125" style="86" bestFit="1" customWidth="1"/>
    <col min="2" max="2" width="45.28515625" style="62" customWidth="1"/>
    <col min="3" max="8" width="14.7109375" style="62" bestFit="1" customWidth="1"/>
    <col min="9" max="9" width="6.85546875" style="86" customWidth="1"/>
    <col min="10" max="18" width="10.7109375" style="86" customWidth="1"/>
    <col min="19" max="29" width="10.7109375" style="62" customWidth="1"/>
    <col min="30" max="16384" width="11.42578125" style="62"/>
  </cols>
  <sheetData>
    <row r="1" spans="2:16" s="86" customFormat="1"/>
    <row r="2" spans="2:16" s="86" customFormat="1">
      <c r="B2" s="660" t="s">
        <v>1414</v>
      </c>
    </row>
    <row r="3" spans="2:16" s="86" customFormat="1">
      <c r="B3" s="660" t="s">
        <v>1415</v>
      </c>
      <c r="C3" s="948"/>
      <c r="D3" s="948"/>
      <c r="E3" s="948"/>
      <c r="F3" s="948"/>
      <c r="G3" s="948"/>
      <c r="H3" s="948"/>
      <c r="I3" s="948"/>
    </row>
    <row r="4" spans="2:16" s="86" customFormat="1">
      <c r="B4" s="660"/>
      <c r="C4" s="1032">
        <v>2010</v>
      </c>
      <c r="D4" s="1032">
        <v>2011</v>
      </c>
      <c r="E4" s="1032">
        <v>2012</v>
      </c>
      <c r="F4" s="1032">
        <v>2013</v>
      </c>
      <c r="G4" s="1032">
        <v>2014</v>
      </c>
      <c r="H4" s="1032">
        <v>2015</v>
      </c>
    </row>
    <row r="5" spans="2:16">
      <c r="B5" s="949" t="s">
        <v>1416</v>
      </c>
      <c r="C5" s="1031"/>
      <c r="D5" s="86"/>
      <c r="E5" s="86"/>
      <c r="F5" s="86"/>
      <c r="G5" s="86"/>
      <c r="H5" s="86"/>
    </row>
    <row r="6" spans="2:16" s="86" customFormat="1" ht="5.25" customHeight="1" thickBot="1">
      <c r="D6" s="950"/>
      <c r="E6" s="950"/>
    </row>
    <row r="7" spans="2:16">
      <c r="B7" s="951" t="s">
        <v>1417</v>
      </c>
      <c r="C7" s="952">
        <f t="shared" ref="C7" si="0">IF(C13=0,0,C13/C27)</f>
        <v>8.04371991060812E-2</v>
      </c>
      <c r="D7" s="952">
        <f>IF(D13=0,0,D13/D27)</f>
        <v>6.3712336606502135E-2</v>
      </c>
      <c r="E7" s="952">
        <f>IF(E13=0,0,E13/E27)</f>
        <v>8.7318720578075715E-2</v>
      </c>
      <c r="F7" s="952">
        <f>IF(F13=0,0,F13/F27)</f>
        <v>5.8214230158243813E-2</v>
      </c>
      <c r="G7" s="952">
        <f>IF(G13=0,0,G13/G27)</f>
        <v>5.0931602329033938E-2</v>
      </c>
      <c r="H7" s="953">
        <f>IF(H13=0,0,H13/H27)</f>
        <v>5.9157496390987621E-2</v>
      </c>
    </row>
    <row r="8" spans="2:16" ht="13.5" thickBot="1">
      <c r="B8" s="954" t="s">
        <v>19</v>
      </c>
      <c r="C8" s="955">
        <f>Ratios!J105</f>
        <v>0.31627142357563637</v>
      </c>
      <c r="D8" s="955">
        <f>C8</f>
        <v>0.31627142357563637</v>
      </c>
      <c r="E8" s="955">
        <f t="shared" ref="E8:G8" si="1">D8</f>
        <v>0.31627142357563637</v>
      </c>
      <c r="F8" s="955">
        <f t="shared" si="1"/>
        <v>0.31627142357563637</v>
      </c>
      <c r="G8" s="955">
        <f t="shared" si="1"/>
        <v>0.31627142357563637</v>
      </c>
      <c r="H8" s="956">
        <f>G8</f>
        <v>0.31627142357563637</v>
      </c>
    </row>
    <row r="9" spans="2:16" s="86" customFormat="1">
      <c r="C9" s="957"/>
      <c r="D9" s="958"/>
      <c r="E9" s="1368"/>
    </row>
    <row r="10" spans="2:16" s="86" customFormat="1" ht="13.5" thickBot="1">
      <c r="B10" s="959" t="s">
        <v>1418</v>
      </c>
      <c r="C10" s="1320">
        <f t="shared" ref="C10:D10" si="2">C23/C24</f>
        <v>0.69379188189696028</v>
      </c>
      <c r="D10" s="1320">
        <f t="shared" si="2"/>
        <v>1.0068083952175524</v>
      </c>
      <c r="E10" s="1320">
        <f>E23/E24</f>
        <v>1.1903596445987907</v>
      </c>
      <c r="F10" s="1320">
        <f t="shared" ref="F10:H10" si="3">F23/F24</f>
        <v>0.45621839358567395</v>
      </c>
      <c r="G10" s="1320">
        <f t="shared" si="3"/>
        <v>0.4236359574293736</v>
      </c>
      <c r="H10" s="1320">
        <f t="shared" si="3"/>
        <v>0.96171476822565549</v>
      </c>
      <c r="J10" s="660" t="s">
        <v>1419</v>
      </c>
    </row>
    <row r="11" spans="2:16">
      <c r="B11" s="960" t="s">
        <v>1420</v>
      </c>
      <c r="C11" s="961">
        <f t="shared" ref="C11:H11" si="4">C27/(C27+C28)</f>
        <v>0.44160348919248282</v>
      </c>
      <c r="D11" s="961">
        <f t="shared" si="4"/>
        <v>0.62769946921486108</v>
      </c>
      <c r="E11" s="1121">
        <f>E27/(E27+E28)</f>
        <v>0.62536921053779093</v>
      </c>
      <c r="F11" s="961">
        <f t="shared" si="4"/>
        <v>0.72215908002936069</v>
      </c>
      <c r="G11" s="961">
        <f t="shared" si="4"/>
        <v>0.73158130355192397</v>
      </c>
      <c r="H11" s="962">
        <f t="shared" si="4"/>
        <v>0.75211357497521147</v>
      </c>
      <c r="K11" s="963"/>
      <c r="L11" s="963"/>
      <c r="M11" s="963"/>
      <c r="N11" s="963"/>
      <c r="O11" s="963"/>
      <c r="P11" s="963"/>
    </row>
    <row r="12" spans="2:16">
      <c r="B12" s="964" t="s">
        <v>1421</v>
      </c>
      <c r="C12" s="965">
        <f>+ER!P62</f>
        <v>39500.53399786412</v>
      </c>
      <c r="D12" s="965">
        <f>+ER!O62</f>
        <v>43085.279940674787</v>
      </c>
      <c r="E12" s="965">
        <f>+ER!N62</f>
        <v>61108.584868679027</v>
      </c>
      <c r="F12" s="965">
        <f>+ER!M62</f>
        <v>55483.547925608145</v>
      </c>
      <c r="G12" s="965">
        <f>+ER!L62</f>
        <v>57249.832775919698</v>
      </c>
      <c r="H12" s="966">
        <f>+ER!K62</f>
        <v>65186.803519061425</v>
      </c>
      <c r="K12" s="967"/>
      <c r="L12" s="967"/>
      <c r="M12" s="967"/>
      <c r="N12" s="967"/>
      <c r="O12" s="967"/>
      <c r="P12" s="967"/>
    </row>
    <row r="13" spans="2:16">
      <c r="B13" s="964" t="s">
        <v>1422</v>
      </c>
      <c r="C13" s="968">
        <f>-(ER!P81+ER!P80)</f>
        <v>14786.756852972587</v>
      </c>
      <c r="D13" s="968">
        <f>-(ER!O81+ER!O80)</f>
        <v>26006.303299962921</v>
      </c>
      <c r="E13" s="968">
        <f>-(ER!N81+ER!N80)</f>
        <v>37308.506468051739</v>
      </c>
      <c r="F13" s="968">
        <f>-(ER!M81+ER!M80)</f>
        <v>35335.121602288986</v>
      </c>
      <c r="G13" s="968">
        <f>-(ER!L81+ER!L80)</f>
        <v>30314.046822742479</v>
      </c>
      <c r="H13" s="969">
        <f>-(ER!K81+ER!K80)</f>
        <v>34345.454545454544</v>
      </c>
      <c r="K13" s="958"/>
      <c r="L13" s="958"/>
      <c r="M13" s="958"/>
      <c r="N13" s="958"/>
      <c r="O13" s="958"/>
      <c r="P13" s="958"/>
    </row>
    <row r="14" spans="2:16">
      <c r="B14" s="970" t="s">
        <v>1423</v>
      </c>
      <c r="C14" s="971">
        <f t="shared" ref="C14:H14" si="5">C12-C13</f>
        <v>24713.777144891534</v>
      </c>
      <c r="D14" s="971">
        <f t="shared" si="5"/>
        <v>17078.976640711866</v>
      </c>
      <c r="E14" s="971">
        <f t="shared" si="5"/>
        <v>23800.078400627288</v>
      </c>
      <c r="F14" s="971">
        <f t="shared" si="5"/>
        <v>20148.42632331916</v>
      </c>
      <c r="G14" s="971">
        <f t="shared" si="5"/>
        <v>26935.785953177219</v>
      </c>
      <c r="H14" s="972">
        <f t="shared" si="5"/>
        <v>30841.34897360688</v>
      </c>
      <c r="J14" s="973"/>
      <c r="K14" s="112"/>
      <c r="L14" s="112"/>
      <c r="M14" s="112"/>
      <c r="N14" s="112"/>
      <c r="O14" s="112"/>
      <c r="P14" s="112"/>
    </row>
    <row r="15" spans="2:16">
      <c r="B15" s="970" t="s">
        <v>1723</v>
      </c>
      <c r="C15" s="971">
        <f>C14*C8</f>
        <v>7816.2614795458712</v>
      </c>
      <c r="D15" s="971">
        <f t="shared" ref="D15:H15" si="6">D14*D8</f>
        <v>5401.5922553729815</v>
      </c>
      <c r="E15" s="971">
        <f t="shared" si="6"/>
        <v>7527.2846769781472</v>
      </c>
      <c r="F15" s="971">
        <f t="shared" si="6"/>
        <v>6372.3714760849753</v>
      </c>
      <c r="G15" s="971">
        <f t="shared" si="6"/>
        <v>8519.0193685399881</v>
      </c>
      <c r="H15" s="972">
        <f t="shared" si="6"/>
        <v>9754.2373448756389</v>
      </c>
    </row>
    <row r="16" spans="2:16">
      <c r="B16" s="970" t="s">
        <v>1424</v>
      </c>
      <c r="C16" s="971">
        <f>C14-C15</f>
        <v>16897.515665345662</v>
      </c>
      <c r="D16" s="971">
        <f t="shared" ref="D16:H16" si="7">D14-D15</f>
        <v>11677.384385338884</v>
      </c>
      <c r="E16" s="971">
        <f t="shared" si="7"/>
        <v>16272.793723649142</v>
      </c>
      <c r="F16" s="971">
        <f t="shared" si="7"/>
        <v>13776.054847234183</v>
      </c>
      <c r="G16" s="971">
        <f t="shared" si="7"/>
        <v>18416.766584637233</v>
      </c>
      <c r="H16" s="972">
        <f t="shared" si="7"/>
        <v>21087.11162873124</v>
      </c>
    </row>
    <row r="17" spans="1:10">
      <c r="B17" s="964" t="s">
        <v>1425</v>
      </c>
      <c r="C17" s="968">
        <v>0</v>
      </c>
      <c r="D17" s="968">
        <v>0</v>
      </c>
      <c r="E17" s="968">
        <v>0</v>
      </c>
      <c r="F17" s="968">
        <f>52236/BG!M3</f>
        <v>18682.403433476396</v>
      </c>
      <c r="G17" s="968">
        <v>0</v>
      </c>
      <c r="H17" s="969">
        <v>0</v>
      </c>
    </row>
    <row r="18" spans="1:10" ht="13.5" thickBot="1">
      <c r="B18" s="974" t="s">
        <v>1426</v>
      </c>
      <c r="C18" s="975">
        <f>C13+C17</f>
        <v>14786.756852972587</v>
      </c>
      <c r="D18" s="975">
        <f t="shared" ref="D18:G18" si="8">D13+D17</f>
        <v>26006.303299962921</v>
      </c>
      <c r="E18" s="975">
        <f t="shared" si="8"/>
        <v>37308.506468051739</v>
      </c>
      <c r="F18" s="975">
        <f>F13+F17</f>
        <v>54017.525035765386</v>
      </c>
      <c r="G18" s="975">
        <f t="shared" si="8"/>
        <v>30314.046822742479</v>
      </c>
      <c r="H18" s="976">
        <f>H13+H17</f>
        <v>34345.454545454544</v>
      </c>
    </row>
    <row r="19" spans="1:10" s="86" customFormat="1" ht="6" customHeight="1" thickBot="1">
      <c r="B19" s="88"/>
      <c r="C19" s="973"/>
      <c r="D19" s="973"/>
      <c r="E19" s="973"/>
      <c r="F19" s="973"/>
      <c r="G19" s="973"/>
      <c r="H19" s="973"/>
    </row>
    <row r="20" spans="1:10">
      <c r="B20" s="977" t="s">
        <v>1427</v>
      </c>
      <c r="C20" s="1117">
        <v>5.7000000000000002E-2</v>
      </c>
      <c r="D20" s="1117">
        <v>5.7000000000000002E-2</v>
      </c>
      <c r="E20" s="1117">
        <v>3.4889999999999997E-2</v>
      </c>
      <c r="F20" s="1117">
        <v>8.4000000000000005E-2</v>
      </c>
      <c r="G20" s="1117">
        <v>8.1481999999999999E-2</v>
      </c>
      <c r="H20" s="1118">
        <f>Kd!F14</f>
        <v>4.6378505761619226E-2</v>
      </c>
    </row>
    <row r="21" spans="1:10" ht="13.5" thickBot="1">
      <c r="B21" s="978" t="s">
        <v>1428</v>
      </c>
      <c r="C21" s="1119">
        <v>9.7935999999999995E-2</v>
      </c>
      <c r="D21" s="1119">
        <v>0.108</v>
      </c>
      <c r="E21" s="1119">
        <v>0.12</v>
      </c>
      <c r="F21" s="1119">
        <v>0.10100000000000001</v>
      </c>
      <c r="G21" s="1119">
        <v>8.3987000000000006E-2</v>
      </c>
      <c r="H21" s="1120">
        <f>Ke!C23</f>
        <v>0.14564961299470019</v>
      </c>
    </row>
    <row r="22" spans="1:10" ht="6" customHeight="1" thickBot="1">
      <c r="B22" s="199"/>
      <c r="C22" s="979"/>
      <c r="D22" s="980"/>
      <c r="E22" s="979"/>
      <c r="F22" s="980"/>
      <c r="G22" s="980"/>
      <c r="H22" s="979"/>
    </row>
    <row r="23" spans="1:10">
      <c r="A23" s="950"/>
      <c r="B23" s="981" t="s">
        <v>1429</v>
      </c>
      <c r="C23" s="1003">
        <f t="shared" ref="C23:H23" si="9">C13/C20</f>
        <v>259416.7868942559</v>
      </c>
      <c r="D23" s="1003">
        <f t="shared" si="9"/>
        <v>456250.93508706876</v>
      </c>
      <c r="E23" s="1003">
        <f t="shared" si="9"/>
        <v>1069318.0415033461</v>
      </c>
      <c r="F23" s="1003">
        <f t="shared" si="9"/>
        <v>420656.20955105935</v>
      </c>
      <c r="G23" s="1003">
        <f t="shared" si="9"/>
        <v>372033.66170126508</v>
      </c>
      <c r="H23" s="1004">
        <f t="shared" si="9"/>
        <v>740546.8111022521</v>
      </c>
    </row>
    <row r="24" spans="1:10">
      <c r="B24" s="970" t="s">
        <v>1430</v>
      </c>
      <c r="C24" s="1005">
        <f>C35*C36</f>
        <v>373911.53408275772</v>
      </c>
      <c r="D24" s="1005">
        <f t="shared" ref="D24:H24" si="10">D35*D36</f>
        <v>453165.60455227585</v>
      </c>
      <c r="E24" s="1005">
        <f>E35*E36</f>
        <v>898315.09859674249</v>
      </c>
      <c r="F24" s="1005">
        <f t="shared" si="10"/>
        <v>922050.08711921575</v>
      </c>
      <c r="G24" s="1005">
        <f t="shared" si="10"/>
        <v>878191.88899537316</v>
      </c>
      <c r="H24" s="1006">
        <f t="shared" si="10"/>
        <v>770027.49211031268</v>
      </c>
    </row>
    <row r="25" spans="1:10" ht="13.5" thickBot="1">
      <c r="B25" s="974" t="s">
        <v>1431</v>
      </c>
      <c r="C25" s="1007">
        <f>C23+C24</f>
        <v>633328.32097701356</v>
      </c>
      <c r="D25" s="1007">
        <f>D23+D24</f>
        <v>909416.53963934467</v>
      </c>
      <c r="E25" s="1007">
        <f t="shared" ref="E25" si="11">E23+E24</f>
        <v>1967633.1401000884</v>
      </c>
      <c r="F25" s="1007">
        <f>F23+F24</f>
        <v>1342706.296670275</v>
      </c>
      <c r="G25" s="1007">
        <f>G23+G24</f>
        <v>1250225.5506966382</v>
      </c>
      <c r="H25" s="1008">
        <f>H23+H24</f>
        <v>1510574.3032125649</v>
      </c>
    </row>
    <row r="26" spans="1:10" s="86" customFormat="1" ht="6" customHeight="1" thickBot="1">
      <c r="A26" s="88"/>
      <c r="B26" s="88"/>
      <c r="C26" s="973"/>
      <c r="D26" s="973"/>
      <c r="E26" s="973"/>
      <c r="F26" s="973"/>
      <c r="G26" s="973"/>
      <c r="H26" s="973"/>
      <c r="I26" s="88"/>
      <c r="J26" s="88"/>
    </row>
    <row r="27" spans="1:10">
      <c r="B27" s="982" t="s">
        <v>1432</v>
      </c>
      <c r="C27" s="1009">
        <f>+BG!P32+BG!P41</f>
        <v>183829.83268066926</v>
      </c>
      <c r="D27" s="1009">
        <f>+BG!O32+BG!O41</f>
        <v>408183.16648127546</v>
      </c>
      <c r="E27" s="1009">
        <f>+BG!N32+BG!N41</f>
        <v>427268.13014504116</v>
      </c>
      <c r="F27" s="1009">
        <f>+BG!M32+BG!M41</f>
        <v>606984.26323319029</v>
      </c>
      <c r="G27" s="1009">
        <f>+BG!L32+BG!L41</f>
        <v>595191.30434782594</v>
      </c>
      <c r="H27" s="1010">
        <f>+BG!K32+BG!K41</f>
        <v>580576.53958944278</v>
      </c>
      <c r="I27" s="1319"/>
    </row>
    <row r="28" spans="1:10">
      <c r="B28" s="964" t="s">
        <v>1433</v>
      </c>
      <c r="C28" s="1011">
        <f>BG!P50+BG!P51</f>
        <v>232448.20220719115</v>
      </c>
      <c r="D28" s="1011">
        <f>BG!O50+BG!O51</f>
        <v>242101.22358175748</v>
      </c>
      <c r="E28" s="1011">
        <f>BG!N50+BG!N51</f>
        <v>255957.27165817324</v>
      </c>
      <c r="F28" s="1011">
        <f>BG!M50+BG!M51</f>
        <v>233528.96995708157</v>
      </c>
      <c r="G28" s="1011">
        <f>BG!L50+BG!L51</f>
        <v>218376.92307692306</v>
      </c>
      <c r="H28" s="1012">
        <f>BG!K50+BG!K51</f>
        <v>191350.14662756596</v>
      </c>
    </row>
    <row r="29" spans="1:10" ht="13.5" thickBot="1">
      <c r="B29" s="974" t="s">
        <v>1434</v>
      </c>
      <c r="C29" s="1013">
        <f>SUM(C27:C28)</f>
        <v>416278.03488786041</v>
      </c>
      <c r="D29" s="1013">
        <f>SUM(D27:D28)</f>
        <v>650284.39006303297</v>
      </c>
      <c r="E29" s="1013">
        <f t="shared" ref="E29" si="12">SUM(E27:E28)</f>
        <v>683225.40180321434</v>
      </c>
      <c r="F29" s="1013">
        <f>SUM(F27:F28)</f>
        <v>840513.23319027189</v>
      </c>
      <c r="G29" s="1013">
        <f>SUM(G27:G28)</f>
        <v>813568.22742474894</v>
      </c>
      <c r="H29" s="1014">
        <f>SUM(H27:H28)</f>
        <v>771926.68621700874</v>
      </c>
      <c r="J29" s="660" t="s">
        <v>1435</v>
      </c>
    </row>
    <row r="30" spans="1:10" s="86" customFormat="1" ht="6" customHeight="1" thickBot="1">
      <c r="B30" s="88"/>
      <c r="C30" s="107"/>
      <c r="D30" s="107"/>
      <c r="E30" s="107"/>
      <c r="F30" s="107"/>
      <c r="G30" s="107"/>
      <c r="H30" s="107"/>
    </row>
    <row r="31" spans="1:10">
      <c r="B31" s="951" t="s">
        <v>1436</v>
      </c>
      <c r="C31" s="996">
        <f>C12*(1-$C$8)/C29</f>
        <v>6.4878858875264234E-2</v>
      </c>
      <c r="D31" s="983">
        <f>D12*(1-$C$8)/D29</f>
        <v>4.5301159875338996E-2</v>
      </c>
      <c r="E31" s="983">
        <f t="shared" ref="E31" si="13">E12*(1-$C$8)/E29</f>
        <v>6.1153589473248934E-2</v>
      </c>
      <c r="F31" s="983">
        <f>F12*(1-$C$8)/F29</f>
        <v>4.5133955945178196E-2</v>
      </c>
      <c r="G31" s="983">
        <f>G12*(1-$C$8)/G29</f>
        <v>4.811317028482779E-2</v>
      </c>
      <c r="H31" s="984">
        <f>H12*(1-$C$8)/H29</f>
        <v>5.773874795049222E-2</v>
      </c>
      <c r="I31" s="948"/>
    </row>
    <row r="32" spans="1:10">
      <c r="B32" s="970" t="s">
        <v>1437</v>
      </c>
      <c r="C32" s="112">
        <f>C16/C28</f>
        <v>7.2693681882229286E-2</v>
      </c>
      <c r="D32" s="112">
        <f>D16/D28</f>
        <v>4.8233479420625218E-2</v>
      </c>
      <c r="E32" s="112">
        <f t="shared" ref="E32" si="14">E16/E28</f>
        <v>6.3576211835001867E-2</v>
      </c>
      <c r="F32" s="112">
        <f>F16/F28</f>
        <v>5.8990774676760553E-2</v>
      </c>
      <c r="G32" s="112">
        <f>G16/G28</f>
        <v>8.4334765437417331E-2</v>
      </c>
      <c r="H32" s="985">
        <f>H16/H28</f>
        <v>0.11020170091520287</v>
      </c>
    </row>
    <row r="33" spans="2:8" ht="13.5" thickBot="1">
      <c r="B33" s="986" t="s">
        <v>1438</v>
      </c>
      <c r="C33" s="987">
        <f>C31+IF(C27=0,0,(C27/C28)*(C31-C7*(1-$C$8)))</f>
        <v>7.2693681882229313E-2</v>
      </c>
      <c r="D33" s="987">
        <f>D31+IF(D27=0,0,(D27/D28)*(D31-D7*(1-$C$8)))</f>
        <v>4.8233479420625197E-2</v>
      </c>
      <c r="E33" s="987">
        <f t="shared" ref="E33" si="15">E31+IF(E27=0,0,(E27/E28)*(E31-E7*(1-$C$8)))</f>
        <v>6.3576211835001895E-2</v>
      </c>
      <c r="F33" s="987">
        <f>F31+IF(F27=0,0,(F27/F28)*(F31-F7*(1-$C$8)))</f>
        <v>5.8990774676760574E-2</v>
      </c>
      <c r="G33" s="987">
        <f>G31+IF(G27=0,0,(G27/G28)*(G31-G7*(1-$C$8)))</f>
        <v>8.4334765437417331E-2</v>
      </c>
      <c r="H33" s="988">
        <f>H31+IF(H27=0,0,(H27/H28)*(H31-H7*(1-$C$8)))</f>
        <v>0.11020170091520287</v>
      </c>
    </row>
    <row r="34" spans="2:8" s="86" customFormat="1" ht="6" customHeight="1" thickBot="1">
      <c r="B34" s="660"/>
      <c r="C34" s="989"/>
      <c r="D34" s="989"/>
      <c r="E34" s="989"/>
      <c r="F34" s="989"/>
      <c r="G34" s="989"/>
      <c r="H34" s="989"/>
    </row>
    <row r="35" spans="2:8">
      <c r="B35" s="990" t="s">
        <v>1439</v>
      </c>
      <c r="C35" s="999">
        <f>Ke!C7/1000</f>
        <v>652946.973</v>
      </c>
      <c r="D35" s="999">
        <f>C35</f>
        <v>652946.973</v>
      </c>
      <c r="E35" s="999">
        <f t="shared" ref="E35:G35" si="16">D35</f>
        <v>652946.973</v>
      </c>
      <c r="F35" s="999">
        <f t="shared" si="16"/>
        <v>652946.973</v>
      </c>
      <c r="G35" s="999">
        <f t="shared" si="16"/>
        <v>652946.973</v>
      </c>
      <c r="H35" s="1000">
        <f>G35</f>
        <v>652946.973</v>
      </c>
    </row>
    <row r="36" spans="2:8">
      <c r="B36" s="964" t="s">
        <v>1440</v>
      </c>
      <c r="C36" s="1001">
        <f>C59</f>
        <v>0.57265222069228849</v>
      </c>
      <c r="D36" s="1001">
        <f t="shared" ref="D36:H36" si="17">D59</f>
        <v>0.69403125106803409</v>
      </c>
      <c r="E36" s="1001">
        <f t="shared" si="17"/>
        <v>1.3757856851213897</v>
      </c>
      <c r="F36" s="1001">
        <f t="shared" si="17"/>
        <v>1.4121362457395383</v>
      </c>
      <c r="G36" s="1001">
        <f t="shared" si="17"/>
        <v>1.3449666286995301</v>
      </c>
      <c r="H36" s="1002">
        <f t="shared" si="17"/>
        <v>1.1793109149007612</v>
      </c>
    </row>
    <row r="37" spans="2:8" ht="7.5" customHeight="1">
      <c r="B37" s="970"/>
      <c r="C37" s="991"/>
      <c r="D37" s="991"/>
      <c r="E37" s="991"/>
      <c r="F37" s="991"/>
      <c r="G37" s="991"/>
      <c r="H37" s="992"/>
    </row>
    <row r="38" spans="2:8">
      <c r="B38" s="993" t="s">
        <v>1441</v>
      </c>
      <c r="C38" s="991"/>
      <c r="D38" s="991"/>
      <c r="E38" s="991"/>
      <c r="F38" s="991"/>
      <c r="G38" s="991"/>
      <c r="H38" s="992"/>
    </row>
    <row r="39" spans="2:8">
      <c r="B39" s="970" t="s">
        <v>1442</v>
      </c>
      <c r="C39" s="1017">
        <f t="shared" ref="C39:H39" si="18">C24+C23</f>
        <v>633328.32097701356</v>
      </c>
      <c r="D39" s="1017">
        <f t="shared" si="18"/>
        <v>909416.53963934467</v>
      </c>
      <c r="E39" s="1017">
        <f t="shared" si="18"/>
        <v>1967633.1401000884</v>
      </c>
      <c r="F39" s="1017">
        <f t="shared" si="18"/>
        <v>1342706.296670275</v>
      </c>
      <c r="G39" s="1017">
        <f t="shared" si="18"/>
        <v>1250225.5506966382</v>
      </c>
      <c r="H39" s="1018">
        <f t="shared" si="18"/>
        <v>1510574.3032125649</v>
      </c>
    </row>
    <row r="40" spans="2:8">
      <c r="B40" s="970" t="s">
        <v>1443</v>
      </c>
      <c r="C40" s="1015">
        <f>C39/$C$35</f>
        <v>0.9699536825588646</v>
      </c>
      <c r="D40" s="1015">
        <f t="shared" ref="D40:H40" si="19">D39/$C$35</f>
        <v>1.3927877411866716</v>
      </c>
      <c r="E40" s="1015">
        <f>E39/$C$35</f>
        <v>3.0134654443065907</v>
      </c>
      <c r="F40" s="1015">
        <f t="shared" si="19"/>
        <v>2.056378775294935</v>
      </c>
      <c r="G40" s="1015">
        <f t="shared" si="19"/>
        <v>1.9147428541592124</v>
      </c>
      <c r="H40" s="1016">
        <f t="shared" si="19"/>
        <v>2.3134716380905327</v>
      </c>
    </row>
    <row r="41" spans="2:8">
      <c r="B41" s="970" t="s">
        <v>1444</v>
      </c>
      <c r="C41" s="107">
        <f>C27/C40</f>
        <v>189524.34119916131</v>
      </c>
      <c r="D41" s="107">
        <f>D27/D40</f>
        <v>293069.18377490784</v>
      </c>
      <c r="E41" s="107">
        <f t="shared" ref="E41" si="20">E27/E40</f>
        <v>141786.30485120998</v>
      </c>
      <c r="F41" s="107">
        <f>F27/F40</f>
        <v>295171.42976061592</v>
      </c>
      <c r="G41" s="107">
        <f>G27/G40</f>
        <v>310846.59909028979</v>
      </c>
      <c r="H41" s="994">
        <f>H27/H40</f>
        <v>250954.68214541525</v>
      </c>
    </row>
    <row r="42" spans="2:8" ht="13.5" thickBot="1">
      <c r="B42" s="974" t="s">
        <v>1445</v>
      </c>
      <c r="C42" s="1022">
        <f>$C$35-C41</f>
        <v>463422.63180083869</v>
      </c>
      <c r="D42" s="1022">
        <f>$C$35-D41</f>
        <v>359877.78922509216</v>
      </c>
      <c r="E42" s="1022">
        <f t="shared" ref="E42" si="21">$C$35-E41</f>
        <v>511160.66814879002</v>
      </c>
      <c r="F42" s="1022">
        <f>$C$35-F41</f>
        <v>357775.54323938407</v>
      </c>
      <c r="G42" s="1022">
        <f>$C$35-G41</f>
        <v>342100.37390971021</v>
      </c>
      <c r="H42" s="1023">
        <f>$C$35-H41</f>
        <v>401992.29085458477</v>
      </c>
    </row>
    <row r="43" spans="2:8" s="86" customFormat="1" ht="6" customHeight="1" thickBot="1">
      <c r="C43" s="967"/>
      <c r="D43" s="967"/>
      <c r="E43" s="967"/>
      <c r="F43" s="967"/>
      <c r="G43" s="967"/>
      <c r="H43" s="967"/>
    </row>
    <row r="44" spans="2:8">
      <c r="B44" s="951" t="s">
        <v>1446</v>
      </c>
      <c r="C44" s="1019">
        <f>C16/C35</f>
        <v>2.587884830480049E-2</v>
      </c>
      <c r="D44" s="1019">
        <f>D16/D35</f>
        <v>1.7884123624444592E-2</v>
      </c>
      <c r="E44" s="1019">
        <f t="shared" ref="E44" si="22">E16/E35</f>
        <v>2.4922075446468364E-2</v>
      </c>
      <c r="F44" s="1019">
        <f>F16/F35</f>
        <v>2.109827507728439E-2</v>
      </c>
      <c r="G44" s="1019">
        <f>G16/G35</f>
        <v>2.8205608336034409E-2</v>
      </c>
      <c r="H44" s="1020">
        <f>H16/H35</f>
        <v>3.2295289664711013E-2</v>
      </c>
    </row>
    <row r="45" spans="2:8">
      <c r="B45" s="970" t="s">
        <v>1447</v>
      </c>
      <c r="C45" s="126">
        <f>C24/C16</f>
        <v>22.128195735281707</v>
      </c>
      <c r="D45" s="126">
        <f>D24/D16</f>
        <v>38.807115497647871</v>
      </c>
      <c r="E45" s="126">
        <f t="shared" ref="E45" si="23">E24/E16</f>
        <v>55.203495715135084</v>
      </c>
      <c r="F45" s="126">
        <f>F24/F16</f>
        <v>66.931360055112989</v>
      </c>
      <c r="G45" s="126">
        <f>G24/G16</f>
        <v>47.684368749503349</v>
      </c>
      <c r="H45" s="995">
        <f>H24/H16</f>
        <v>36.516499066716584</v>
      </c>
    </row>
    <row r="46" spans="2:8">
      <c r="B46" s="970" t="s">
        <v>1448</v>
      </c>
      <c r="C46" s="112">
        <f>C27/C29</f>
        <v>0.44160348919248282</v>
      </c>
      <c r="D46" s="112">
        <f>D27/D29</f>
        <v>0.62769946921486108</v>
      </c>
      <c r="E46" s="112">
        <f t="shared" ref="E46" si="24">E27/E29</f>
        <v>0.62536921053779093</v>
      </c>
      <c r="F46" s="112">
        <f>F27/F29</f>
        <v>0.72215908002936069</v>
      </c>
      <c r="G46" s="112">
        <f>G27/G29</f>
        <v>0.73158130355192397</v>
      </c>
      <c r="H46" s="985">
        <f>H27/H29</f>
        <v>0.75211357497521147</v>
      </c>
    </row>
    <row r="47" spans="2:8" ht="13.5" thickBot="1">
      <c r="B47" s="974" t="s">
        <v>1449</v>
      </c>
      <c r="C47" s="987">
        <f>C23/C25</f>
        <v>0.40960869473524042</v>
      </c>
      <c r="D47" s="987">
        <f>D23/D25</f>
        <v>0.5016963241816651</v>
      </c>
      <c r="E47" s="987">
        <f t="shared" ref="E47" si="25">E23/E25</f>
        <v>0.54345397000629525</v>
      </c>
      <c r="F47" s="987">
        <f>F23/F25</f>
        <v>0.31328981668904682</v>
      </c>
      <c r="G47" s="987">
        <f>G23/G25</f>
        <v>0.29757323508063344</v>
      </c>
      <c r="H47" s="988">
        <f>H23/H25</f>
        <v>0.49024189642794674</v>
      </c>
    </row>
    <row r="48" spans="2:8" s="86" customFormat="1" ht="6" customHeight="1" thickBot="1">
      <c r="B48" s="88"/>
      <c r="C48" s="112"/>
      <c r="D48" s="112"/>
      <c r="E48" s="112"/>
      <c r="F48" s="112"/>
      <c r="G48" s="112"/>
      <c r="H48" s="112"/>
    </row>
    <row r="49" spans="2:9">
      <c r="B49" s="951" t="s">
        <v>1450</v>
      </c>
      <c r="C49" s="996">
        <f t="shared" ref="C49:H49" si="26">C47*C20*(1-C8)+(1-C47)*C21</f>
        <v>7.3784049547724453E-2</v>
      </c>
      <c r="D49" s="996">
        <f t="shared" si="26"/>
        <v>7.3369171459593929E-2</v>
      </c>
      <c r="E49" s="1028">
        <f t="shared" si="26"/>
        <v>6.7749775672485524E-2</v>
      </c>
      <c r="F49" s="996">
        <f t="shared" si="26"/>
        <v>8.7350965345742632E-2</v>
      </c>
      <c r="G49" s="996">
        <f t="shared" si="26"/>
        <v>7.5572989376343006E-2</v>
      </c>
      <c r="H49" s="997">
        <f t="shared" si="26"/>
        <v>8.9791792880162188E-2</v>
      </c>
    </row>
    <row r="50" spans="2:9">
      <c r="B50" s="998" t="s">
        <v>1451</v>
      </c>
      <c r="C50" s="1024">
        <f>C12*(1-C8)</f>
        <v>27007.643878361814</v>
      </c>
      <c r="D50" s="1024">
        <f t="shared" ref="D50:H50" si="27">D12*(1-D8)</f>
        <v>29458.637118682764</v>
      </c>
      <c r="E50" s="1024">
        <f>E12*(1-E8)</f>
        <v>41781.685739569322</v>
      </c>
      <c r="F50" s="1024">
        <f t="shared" si="27"/>
        <v>37935.687238149018</v>
      </c>
      <c r="G50" s="1024">
        <f t="shared" si="27"/>
        <v>39143.346664412449</v>
      </c>
      <c r="H50" s="1025">
        <f t="shared" si="27"/>
        <v>44570.080371742566</v>
      </c>
    </row>
    <row r="51" spans="2:9" ht="13.5" thickBot="1">
      <c r="B51" s="986" t="s">
        <v>1452</v>
      </c>
      <c r="C51" s="1026">
        <f t="shared" ref="C51:H51" si="28">C50/C49</f>
        <v>366036.34584860958</v>
      </c>
      <c r="D51" s="1026">
        <f t="shared" si="28"/>
        <v>401512.46814755577</v>
      </c>
      <c r="E51" s="1116">
        <f t="shared" si="28"/>
        <v>616705.89053385844</v>
      </c>
      <c r="F51" s="1026">
        <f t="shared" si="28"/>
        <v>434290.41783334973</v>
      </c>
      <c r="G51" s="1026">
        <f t="shared" si="28"/>
        <v>517954.19219800888</v>
      </c>
      <c r="H51" s="1027">
        <f t="shared" si="28"/>
        <v>496371.42707715649</v>
      </c>
    </row>
    <row r="52" spans="2:9" s="86" customFormat="1">
      <c r="E52" s="1021"/>
    </row>
    <row r="53" spans="2:9" s="86" customFormat="1">
      <c r="C53" s="948"/>
      <c r="D53" s="948"/>
      <c r="E53" s="948"/>
      <c r="F53" s="948"/>
      <c r="G53" s="948"/>
      <c r="H53" s="948"/>
    </row>
    <row r="54" spans="2:9" s="86" customFormat="1">
      <c r="B54" s="1370" t="s">
        <v>1766</v>
      </c>
      <c r="C54" s="1371">
        <f>580981459/1000</f>
        <v>580981.45900000003</v>
      </c>
      <c r="D54" s="1371">
        <f t="shared" ref="D54:H54" si="29">580981459/1000</f>
        <v>580981.45900000003</v>
      </c>
      <c r="E54" s="1371">
        <f t="shared" si="29"/>
        <v>580981.45900000003</v>
      </c>
      <c r="F54" s="1371">
        <f t="shared" si="29"/>
        <v>580981.45900000003</v>
      </c>
      <c r="G54" s="1371">
        <f t="shared" si="29"/>
        <v>580981.45900000003</v>
      </c>
      <c r="H54" s="1372">
        <f t="shared" si="29"/>
        <v>580981.45900000003</v>
      </c>
    </row>
    <row r="55" spans="2:9" s="86" customFormat="1">
      <c r="B55" s="186" t="s">
        <v>1765</v>
      </c>
      <c r="C55" s="107">
        <f>71965514/1000</f>
        <v>71965.513999999996</v>
      </c>
      <c r="D55" s="107">
        <f t="shared" ref="D55:H55" si="30">71965514/1000</f>
        <v>71965.513999999996</v>
      </c>
      <c r="E55" s="107">
        <f t="shared" si="30"/>
        <v>71965.513999999996</v>
      </c>
      <c r="F55" s="107">
        <f t="shared" si="30"/>
        <v>71965.513999999996</v>
      </c>
      <c r="G55" s="107">
        <f t="shared" si="30"/>
        <v>71965.513999999996</v>
      </c>
      <c r="H55" s="1373">
        <f t="shared" si="30"/>
        <v>71965.513999999996</v>
      </c>
    </row>
    <row r="56" spans="2:9" s="86" customFormat="1">
      <c r="B56" s="186" t="s">
        <v>1766</v>
      </c>
      <c r="C56" s="1374">
        <f>1.1*(1+Factor!$G$19)/BG!P3</f>
        <v>0.59507914782989302</v>
      </c>
      <c r="D56" s="1374">
        <f>1.28*(1+Factor!$G$19)/BG!O3</f>
        <v>0.72121177658857882</v>
      </c>
      <c r="E56" s="1374">
        <f>2.4*(1+Factor!$G$19)/BG!N3</f>
        <v>1.4296659360001447</v>
      </c>
      <c r="F56" s="1374">
        <f>2.7*(1+Factor!$G$19)/BG!M3</f>
        <v>1.4674401030323379</v>
      </c>
      <c r="G56" s="1374">
        <f>2.75*(1+Factor!$G$19)/BG!L3</f>
        <v>1.3976399048947905</v>
      </c>
      <c r="H56" s="1375">
        <f>2.75*(1+Factor!$G$19)/BG!K3</f>
        <v>1.2254965735001242</v>
      </c>
    </row>
    <row r="57" spans="2:9">
      <c r="B57" s="186" t="s">
        <v>1765</v>
      </c>
      <c r="C57" s="1374">
        <f>1.1/BG!P3</f>
        <v>0.39159843360626556</v>
      </c>
      <c r="D57" s="1374">
        <f>1.28/BG!O3</f>
        <v>0.4746014089729329</v>
      </c>
      <c r="E57" s="1374">
        <f>2.4/BG!N3</f>
        <v>0.9408075264602116</v>
      </c>
      <c r="F57" s="1374">
        <f>2.7/BG!M3</f>
        <v>0.96566523605150223</v>
      </c>
      <c r="G57" s="1374">
        <f>2.75/BG!L3</f>
        <v>0.91973244147157185</v>
      </c>
      <c r="H57" s="1375">
        <f>2.75/BG!K3</f>
        <v>0.80645161290322576</v>
      </c>
    </row>
    <row r="58" spans="2:9">
      <c r="B58" s="191"/>
      <c r="C58" s="1376">
        <f>(C54*C56+C55*C57)</f>
        <v>373911.53408275772</v>
      </c>
      <c r="D58" s="1376">
        <f t="shared" ref="D58:H58" si="31">(D54*D56+D55*D57)</f>
        <v>453165.60455227591</v>
      </c>
      <c r="E58" s="1376">
        <f>(E54*E56+E55*E57)</f>
        <v>898315.09859674249</v>
      </c>
      <c r="F58" s="1376">
        <f t="shared" si="31"/>
        <v>922050.08711921563</v>
      </c>
      <c r="G58" s="1376">
        <f t="shared" si="31"/>
        <v>878191.88899537316</v>
      </c>
      <c r="H58" s="1377">
        <f t="shared" si="31"/>
        <v>770027.49211031257</v>
      </c>
      <c r="I58" s="78"/>
    </row>
    <row r="59" spans="2:9">
      <c r="B59" s="1378"/>
      <c r="C59" s="1379">
        <f>C58/(C54+C55)</f>
        <v>0.57265222069228849</v>
      </c>
      <c r="D59" s="1379">
        <f t="shared" ref="D59:H59" si="32">D58/(D54+D55)</f>
        <v>0.69403125106803409</v>
      </c>
      <c r="E59" s="1379">
        <f>E58/(E54+E55)</f>
        <v>1.3757856851213897</v>
      </c>
      <c r="F59" s="1379">
        <f t="shared" si="32"/>
        <v>1.4121362457395383</v>
      </c>
      <c r="G59" s="1379">
        <f t="shared" si="32"/>
        <v>1.3449666286995301</v>
      </c>
      <c r="H59" s="72">
        <f t="shared" si="32"/>
        <v>1.1793109149007612</v>
      </c>
    </row>
    <row r="60" spans="2:9">
      <c r="B60" s="86"/>
      <c r="C60" s="88"/>
      <c r="D60" s="88"/>
      <c r="E60" s="88"/>
      <c r="F60" s="88"/>
      <c r="G60" s="88"/>
      <c r="H60" s="88"/>
    </row>
    <row r="61" spans="2:9">
      <c r="B61" s="86"/>
      <c r="C61" s="88"/>
      <c r="D61" s="88"/>
      <c r="E61" s="88"/>
      <c r="F61" s="88"/>
      <c r="G61" s="88"/>
      <c r="H61" s="88"/>
    </row>
    <row r="62" spans="2:9">
      <c r="B62" s="86"/>
      <c r="C62" s="88"/>
      <c r="D62" s="88"/>
      <c r="E62" s="88"/>
      <c r="F62" s="88"/>
      <c r="G62" s="88"/>
      <c r="H62" s="88"/>
    </row>
  </sheetData>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2:AG84"/>
  <sheetViews>
    <sheetView showGridLines="0" zoomScale="85" zoomScaleNormal="85" workbookViewId="0">
      <selection activeCell="F14" sqref="F14"/>
    </sheetView>
  </sheetViews>
  <sheetFormatPr baseColWidth="10" defaultRowHeight="14.25"/>
  <cols>
    <col min="1" max="1" width="5.42578125" style="155" customWidth="1"/>
    <col min="2" max="2" width="18.85546875" style="155" customWidth="1"/>
    <col min="3" max="3" width="20.85546875" style="155" customWidth="1"/>
    <col min="4" max="4" width="18.85546875" style="155" customWidth="1"/>
    <col min="5" max="5" width="13.85546875" style="155" customWidth="1"/>
    <col min="6" max="6" width="14.28515625" style="155" customWidth="1"/>
    <col min="7" max="7" width="16.5703125" style="155" bestFit="1" customWidth="1"/>
    <col min="8" max="8" width="14.85546875" style="155" bestFit="1" customWidth="1"/>
    <col min="9" max="9" width="12.28515625" style="155" bestFit="1" customWidth="1"/>
    <col min="10" max="10" width="12.140625" style="155" customWidth="1"/>
    <col min="11" max="12" width="12.28515625" style="155" bestFit="1" customWidth="1"/>
    <col min="13" max="14" width="12.7109375" style="155" bestFit="1" customWidth="1"/>
    <col min="15" max="15" width="6.85546875" style="155" customWidth="1"/>
    <col min="16" max="16" width="11.5703125" style="155" bestFit="1" customWidth="1"/>
    <col min="17" max="17" width="6.85546875" style="155" customWidth="1"/>
    <col min="18" max="18" width="11.5703125" style="155" bestFit="1" customWidth="1"/>
    <col min="19" max="19" width="11.42578125" style="155"/>
    <col min="20" max="20" width="11.5703125" style="155" bestFit="1" customWidth="1"/>
    <col min="21" max="22" width="13.85546875" style="155" bestFit="1" customWidth="1"/>
    <col min="23" max="23" width="14.85546875" style="155" customWidth="1"/>
    <col min="24" max="26" width="17.42578125" style="155" bestFit="1" customWidth="1"/>
    <col min="27" max="16384" width="11.42578125" style="155"/>
  </cols>
  <sheetData>
    <row r="2" spans="2:26" ht="30">
      <c r="B2" s="89" t="s">
        <v>780</v>
      </c>
      <c r="C2" s="89"/>
      <c r="D2" s="89"/>
      <c r="E2" s="89"/>
      <c r="F2" s="89"/>
      <c r="G2" s="89"/>
      <c r="H2" s="89"/>
      <c r="I2" s="89"/>
      <c r="T2" s="540" t="s">
        <v>404</v>
      </c>
      <c r="U2" s="540" t="s">
        <v>405</v>
      </c>
      <c r="V2" s="540" t="s">
        <v>406</v>
      </c>
      <c r="W2" s="540" t="s">
        <v>407</v>
      </c>
      <c r="X2" s="541" t="s">
        <v>408</v>
      </c>
      <c r="Y2" s="541" t="s">
        <v>409</v>
      </c>
      <c r="Z2" s="541" t="s">
        <v>410</v>
      </c>
    </row>
    <row r="3" spans="2:26" ht="15">
      <c r="B3" s="163" t="s">
        <v>381</v>
      </c>
      <c r="C3" s="542">
        <v>42369</v>
      </c>
      <c r="E3" s="90"/>
      <c r="F3" s="90"/>
      <c r="G3" s="90"/>
      <c r="H3" s="90" t="s">
        <v>1368</v>
      </c>
      <c r="I3" s="90">
        <v>3.41</v>
      </c>
      <c r="J3" s="90"/>
      <c r="K3" s="90"/>
      <c r="L3" s="90"/>
      <c r="M3" s="90"/>
      <c r="N3" s="90"/>
      <c r="O3" s="90"/>
      <c r="P3" s="90"/>
      <c r="Q3" s="90"/>
      <c r="R3" s="90"/>
      <c r="S3" s="90"/>
      <c r="T3" s="543">
        <f>L7</f>
        <v>40870</v>
      </c>
      <c r="U3" s="543">
        <f>M7</f>
        <v>44523</v>
      </c>
      <c r="V3" s="544">
        <f>G7</f>
        <v>320000000</v>
      </c>
      <c r="W3" s="545">
        <f>N7</f>
        <v>6.7500000000000004E-2</v>
      </c>
      <c r="X3" s="546">
        <f>V3*X21</f>
        <v>896000000</v>
      </c>
      <c r="Y3" s="546">
        <f>V3*Y21</f>
        <v>956480000</v>
      </c>
      <c r="Z3" s="546">
        <f>V3*Z21</f>
        <v>1087958620.6896553</v>
      </c>
    </row>
    <row r="4" spans="2:26" ht="15">
      <c r="B4" s="163" t="s">
        <v>1777</v>
      </c>
      <c r="C4" s="90"/>
      <c r="D4" s="90"/>
      <c r="E4" s="90"/>
      <c r="F4" s="90"/>
      <c r="G4" s="90"/>
      <c r="H4" s="90"/>
      <c r="I4" s="90"/>
      <c r="J4" s="90"/>
      <c r="K4" s="90"/>
      <c r="L4" s="90"/>
      <c r="M4" s="90"/>
      <c r="N4" s="90"/>
      <c r="O4" s="90"/>
      <c r="P4" s="90"/>
      <c r="Q4" s="90"/>
      <c r="R4" s="90"/>
      <c r="S4" s="90"/>
    </row>
    <row r="5" spans="2:26" ht="15" customHeight="1">
      <c r="B5" s="1756" t="s">
        <v>382</v>
      </c>
      <c r="C5" s="1756" t="s">
        <v>383</v>
      </c>
      <c r="D5" s="1756" t="s">
        <v>384</v>
      </c>
      <c r="E5" s="1756" t="s">
        <v>385</v>
      </c>
      <c r="F5" s="1756" t="s">
        <v>1683</v>
      </c>
      <c r="G5" s="1756" t="s">
        <v>386</v>
      </c>
      <c r="H5" s="1756" t="s">
        <v>387</v>
      </c>
      <c r="I5" s="547" t="s">
        <v>388</v>
      </c>
      <c r="J5" s="547" t="s">
        <v>389</v>
      </c>
      <c r="K5" s="547" t="s">
        <v>390</v>
      </c>
      <c r="L5" s="1756" t="s">
        <v>391</v>
      </c>
      <c r="M5" s="1756" t="s">
        <v>392</v>
      </c>
      <c r="N5" s="1756" t="s">
        <v>393</v>
      </c>
      <c r="O5" s="1756" t="s">
        <v>394</v>
      </c>
      <c r="P5" s="1756" t="s">
        <v>395</v>
      </c>
      <c r="Q5" s="1756" t="s">
        <v>396</v>
      </c>
      <c r="R5" s="1756" t="s">
        <v>454</v>
      </c>
      <c r="T5" s="1758"/>
      <c r="U5" s="1759"/>
      <c r="V5" s="1759"/>
      <c r="W5" s="1759"/>
      <c r="X5" s="1760"/>
      <c r="Y5" s="548"/>
    </row>
    <row r="6" spans="2:26" ht="15">
      <c r="B6" s="1757"/>
      <c r="C6" s="1757"/>
      <c r="D6" s="1757"/>
      <c r="E6" s="1757"/>
      <c r="F6" s="1757"/>
      <c r="G6" s="1757"/>
      <c r="H6" s="1757"/>
      <c r="I6" s="547" t="s">
        <v>397</v>
      </c>
      <c r="J6" s="547" t="s">
        <v>397</v>
      </c>
      <c r="K6" s="547" t="s">
        <v>397</v>
      </c>
      <c r="L6" s="1757"/>
      <c r="M6" s="1757"/>
      <c r="N6" s="1757"/>
      <c r="O6" s="1757"/>
      <c r="P6" s="1757"/>
      <c r="Q6" s="1757"/>
      <c r="R6" s="1757"/>
      <c r="T6" s="549" t="s">
        <v>411</v>
      </c>
      <c r="U6" s="550" t="s">
        <v>412</v>
      </c>
      <c r="V6" s="550" t="s">
        <v>413</v>
      </c>
      <c r="W6" s="550" t="s">
        <v>414</v>
      </c>
      <c r="X6" s="551" t="s">
        <v>415</v>
      </c>
      <c r="Y6" s="552"/>
    </row>
    <row r="7" spans="2:26" ht="15" customHeight="1">
      <c r="B7" s="553" t="s">
        <v>400</v>
      </c>
      <c r="C7" s="553" t="s">
        <v>401</v>
      </c>
      <c r="D7" s="553" t="s">
        <v>402</v>
      </c>
      <c r="E7" s="553">
        <v>111.42400000000001</v>
      </c>
      <c r="F7" s="554">
        <v>4.5579999999999998</v>
      </c>
      <c r="G7" s="555">
        <v>320000000</v>
      </c>
      <c r="H7" s="553"/>
      <c r="I7" s="553">
        <v>110.77299499999999</v>
      </c>
      <c r="J7" s="553">
        <f>+I7+K7</f>
        <v>111.46674499999999</v>
      </c>
      <c r="K7" s="553">
        <f>6937.5/10000</f>
        <v>0.69374999999999998</v>
      </c>
      <c r="L7" s="556">
        <v>40870</v>
      </c>
      <c r="M7" s="556">
        <v>44523</v>
      </c>
      <c r="N7" s="557">
        <v>6.7500000000000004E-2</v>
      </c>
      <c r="O7" s="553" t="s">
        <v>416</v>
      </c>
      <c r="P7" s="556">
        <v>42331</v>
      </c>
      <c r="Q7" s="558"/>
      <c r="R7" s="559">
        <f>(G7/$G$9)*N7</f>
        <v>3.7241379310344831E-2</v>
      </c>
      <c r="T7" s="560">
        <v>40870</v>
      </c>
      <c r="U7" s="561">
        <f>V3</f>
        <v>320000000</v>
      </c>
      <c r="V7" s="457"/>
      <c r="W7" s="561">
        <f>-U7</f>
        <v>-320000000</v>
      </c>
      <c r="X7" s="422"/>
      <c r="Y7" s="552"/>
    </row>
    <row r="8" spans="2:26" ht="15">
      <c r="B8" s="562" t="s">
        <v>403</v>
      </c>
      <c r="C8" s="562" t="s">
        <v>401</v>
      </c>
      <c r="D8" s="562" t="s">
        <v>402</v>
      </c>
      <c r="E8" s="562">
        <v>101.29300000000001</v>
      </c>
      <c r="F8" s="563">
        <v>4.7130000000000001</v>
      </c>
      <c r="G8" s="555">
        <v>260000000</v>
      </c>
      <c r="H8" s="553"/>
      <c r="I8" s="564">
        <v>100.313057</v>
      </c>
      <c r="J8" s="553">
        <f>+I8+K8</f>
        <v>101.392224</v>
      </c>
      <c r="K8" s="553">
        <f>10791.67/10000</f>
        <v>1.079167</v>
      </c>
      <c r="L8" s="556">
        <v>41373</v>
      </c>
      <c r="M8" s="556">
        <v>45264</v>
      </c>
      <c r="N8" s="565">
        <v>4.6249999999999999E-2</v>
      </c>
      <c r="O8" s="553" t="s">
        <v>416</v>
      </c>
      <c r="P8" s="556">
        <v>42103</v>
      </c>
      <c r="Q8" s="558"/>
      <c r="R8" s="559">
        <f>(G8/$G$9)*N8</f>
        <v>2.0732758620689656E-2</v>
      </c>
      <c r="T8" s="566">
        <v>41236</v>
      </c>
      <c r="U8" s="561">
        <f>V3</f>
        <v>320000000</v>
      </c>
      <c r="V8" s="561"/>
      <c r="W8" s="561">
        <f t="shared" ref="W8:W17" si="0">U8*($W$3)*((T8-T7)/365)</f>
        <v>21659178.082191784</v>
      </c>
      <c r="X8" s="567">
        <f>V8+W8</f>
        <v>21659178.082191784</v>
      </c>
      <c r="Y8" s="552"/>
    </row>
    <row r="9" spans="2:26" ht="15">
      <c r="B9" s="1761" t="s">
        <v>781</v>
      </c>
      <c r="C9" s="1762"/>
      <c r="D9" s="1762"/>
      <c r="E9" s="1763"/>
      <c r="F9" s="1310">
        <f>+(F7/100*G7+F8/100*G8)/G9</f>
        <v>4.62748275862069E-2</v>
      </c>
      <c r="G9" s="569">
        <f>SUM(G7:G8)</f>
        <v>580000000</v>
      </c>
      <c r="H9" s="570"/>
      <c r="I9" s="571"/>
      <c r="J9" s="572">
        <f>1013922.24/10000</f>
        <v>101.392224</v>
      </c>
      <c r="K9" s="573"/>
      <c r="L9" s="574"/>
      <c r="M9" s="574"/>
      <c r="N9" s="573"/>
      <c r="O9" s="573"/>
      <c r="P9" s="574"/>
      <c r="Q9" s="90"/>
      <c r="R9" s="575">
        <f>SUM(R7:R8)</f>
        <v>5.7974137931034488E-2</v>
      </c>
      <c r="T9" s="560">
        <v>41601</v>
      </c>
      <c r="U9" s="561">
        <f>U8-V8</f>
        <v>320000000</v>
      </c>
      <c r="V9" s="561"/>
      <c r="W9" s="561">
        <f t="shared" si="0"/>
        <v>21600000</v>
      </c>
      <c r="X9" s="567">
        <f>V9+W9</f>
        <v>21600000</v>
      </c>
      <c r="Y9" s="552"/>
    </row>
    <row r="10" spans="2:26" ht="15">
      <c r="B10" s="1761" t="s">
        <v>398</v>
      </c>
      <c r="C10" s="1762"/>
      <c r="D10" s="1762"/>
      <c r="E10" s="1763"/>
      <c r="F10" s="1311">
        <f>+(G7*I7/100+G8*I8/100)</f>
        <v>615287532.20000005</v>
      </c>
      <c r="G10" s="1523"/>
      <c r="H10" s="90"/>
      <c r="I10" s="90"/>
      <c r="J10" s="90"/>
      <c r="K10" s="90"/>
      <c r="L10" s="90"/>
      <c r="M10" s="90"/>
      <c r="N10" s="90"/>
      <c r="O10" s="90"/>
      <c r="P10" s="90"/>
      <c r="Q10" s="90"/>
      <c r="R10" s="90"/>
      <c r="T10" s="566">
        <v>41966</v>
      </c>
      <c r="U10" s="561">
        <f>U9-V9</f>
        <v>320000000</v>
      </c>
      <c r="V10" s="561"/>
      <c r="W10" s="561">
        <f t="shared" si="0"/>
        <v>21600000</v>
      </c>
      <c r="X10" s="567">
        <f>V10+W10</f>
        <v>21600000</v>
      </c>
      <c r="Y10" s="552"/>
    </row>
    <row r="11" spans="2:26" ht="15">
      <c r="B11" s="1761" t="s">
        <v>1776</v>
      </c>
      <c r="C11" s="1762"/>
      <c r="D11" s="1762"/>
      <c r="E11" s="1763"/>
      <c r="F11" s="1312">
        <f>E19</f>
        <v>7.0000000000000007E-2</v>
      </c>
      <c r="G11" s="90"/>
      <c r="H11" s="90"/>
      <c r="I11" s="90"/>
      <c r="J11" s="90"/>
      <c r="K11" s="90"/>
      <c r="L11" s="90"/>
      <c r="M11" s="90"/>
      <c r="N11" s="90"/>
      <c r="O11" s="90"/>
      <c r="P11" s="90"/>
      <c r="Q11" s="90"/>
      <c r="R11" s="90"/>
      <c r="T11" s="560">
        <v>42331</v>
      </c>
      <c r="U11" s="561">
        <f t="shared" ref="U11:U17" si="1">U10-V10</f>
        <v>320000000</v>
      </c>
      <c r="V11" s="561"/>
      <c r="W11" s="561">
        <f t="shared" si="0"/>
        <v>21600000</v>
      </c>
      <c r="X11" s="567">
        <f t="shared" ref="X11:X17" si="2">V11+W11</f>
        <v>21600000</v>
      </c>
      <c r="Y11" s="552"/>
    </row>
    <row r="12" spans="2:26" ht="15">
      <c r="B12" s="1761" t="s">
        <v>453</v>
      </c>
      <c r="C12" s="1762"/>
      <c r="D12" s="1762"/>
      <c r="E12" s="1763"/>
      <c r="F12" s="1313">
        <f>M30*1000/I3</f>
        <v>2700586.5102639296</v>
      </c>
      <c r="G12" s="90"/>
      <c r="H12" s="90"/>
      <c r="I12" s="90"/>
      <c r="J12" s="90"/>
      <c r="K12" s="90"/>
      <c r="L12" s="90"/>
      <c r="M12" s="90"/>
      <c r="N12" s="90"/>
      <c r="O12" s="90"/>
      <c r="P12" s="90"/>
      <c r="Q12" s="90"/>
      <c r="R12" s="90"/>
      <c r="T12" s="577">
        <v>42697</v>
      </c>
      <c r="U12" s="578">
        <f t="shared" si="1"/>
        <v>320000000</v>
      </c>
      <c r="V12" s="578"/>
      <c r="W12" s="578">
        <f t="shared" si="0"/>
        <v>21659178.082191784</v>
      </c>
      <c r="X12" s="579">
        <f t="shared" si="2"/>
        <v>21659178.082191784</v>
      </c>
      <c r="Y12" s="580">
        <f>X12/(1+$F$7/100)^((T12-$C$3)/360)</f>
        <v>20797223.099196322</v>
      </c>
    </row>
    <row r="13" spans="2:26" ht="15">
      <c r="B13" s="1764" t="s">
        <v>399</v>
      </c>
      <c r="C13" s="1764"/>
      <c r="D13" s="1764"/>
      <c r="E13" s="1764"/>
      <c r="F13" s="576">
        <f>+SUM(F10:F12)</f>
        <v>617988118.78026402</v>
      </c>
      <c r="G13" s="90"/>
      <c r="H13" s="90"/>
      <c r="I13" s="90"/>
      <c r="J13" s="90"/>
      <c r="K13" s="90"/>
      <c r="L13" s="90"/>
      <c r="M13" s="90"/>
      <c r="N13" s="90"/>
      <c r="O13" s="90"/>
      <c r="P13" s="90"/>
      <c r="Q13" s="90"/>
      <c r="R13" s="90"/>
      <c r="T13" s="560">
        <v>43062</v>
      </c>
      <c r="U13" s="561">
        <f t="shared" si="1"/>
        <v>320000000</v>
      </c>
      <c r="V13" s="561"/>
      <c r="W13" s="561">
        <f t="shared" si="0"/>
        <v>21600000</v>
      </c>
      <c r="X13" s="567">
        <f t="shared" si="2"/>
        <v>21600000</v>
      </c>
      <c r="Y13" s="580">
        <f>X13/(1+$F$7/100)^((T13-$C$3)/360)</f>
        <v>19823987.326785877</v>
      </c>
    </row>
    <row r="14" spans="2:26" ht="15">
      <c r="B14" s="1765" t="s">
        <v>455</v>
      </c>
      <c r="C14" s="1765"/>
      <c r="D14" s="1765"/>
      <c r="E14" s="1765"/>
      <c r="F14" s="568">
        <f>G21</f>
        <v>4.6378505761619226E-2</v>
      </c>
      <c r="G14" s="90"/>
      <c r="H14" s="90"/>
      <c r="I14" s="90"/>
      <c r="J14" s="90"/>
      <c r="K14" s="90"/>
      <c r="L14" s="90"/>
      <c r="M14" s="90"/>
      <c r="N14" s="90"/>
      <c r="O14" s="90"/>
      <c r="P14" s="90"/>
      <c r="Q14" s="90"/>
      <c r="R14" s="90"/>
      <c r="T14" s="566">
        <v>43427</v>
      </c>
      <c r="U14" s="561">
        <f t="shared" si="1"/>
        <v>320000000</v>
      </c>
      <c r="V14" s="561"/>
      <c r="W14" s="561">
        <f t="shared" si="0"/>
        <v>21600000</v>
      </c>
      <c r="X14" s="567">
        <f t="shared" si="2"/>
        <v>21600000</v>
      </c>
      <c r="Y14" s="580">
        <f>X14/(1+$F$7/100)^((T14-$C$3)/360)</f>
        <v>18948066.185655888</v>
      </c>
    </row>
    <row r="15" spans="2:26">
      <c r="S15" s="90"/>
      <c r="T15" s="560">
        <v>43792</v>
      </c>
      <c r="U15" s="561">
        <f t="shared" si="1"/>
        <v>320000000</v>
      </c>
      <c r="V15" s="561"/>
      <c r="W15" s="561">
        <f t="shared" si="0"/>
        <v>21600000</v>
      </c>
      <c r="X15" s="567">
        <f t="shared" si="2"/>
        <v>21600000</v>
      </c>
      <c r="Y15" s="580">
        <f t="shared" ref="Y15:Y17" si="3">X15/(1+$F$7/100)^((T15-$C$3)/360)</f>
        <v>18110847.543313406</v>
      </c>
    </row>
    <row r="16" spans="2:26">
      <c r="S16" s="90"/>
      <c r="T16" s="566">
        <v>44158</v>
      </c>
      <c r="U16" s="561">
        <f t="shared" si="1"/>
        <v>320000000</v>
      </c>
      <c r="V16" s="561"/>
      <c r="W16" s="561">
        <f t="shared" si="0"/>
        <v>21659178.082191784</v>
      </c>
      <c r="X16" s="567">
        <f t="shared" si="2"/>
        <v>21659178.082191784</v>
      </c>
      <c r="Y16" s="580">
        <f t="shared" si="3"/>
        <v>17355898.71872057</v>
      </c>
    </row>
    <row r="17" spans="2:33">
      <c r="S17" s="90"/>
      <c r="T17" s="560">
        <v>44523</v>
      </c>
      <c r="U17" s="561">
        <f t="shared" si="1"/>
        <v>320000000</v>
      </c>
      <c r="V17" s="561">
        <f>U7</f>
        <v>320000000</v>
      </c>
      <c r="W17" s="561">
        <f t="shared" si="0"/>
        <v>21600000</v>
      </c>
      <c r="X17" s="567">
        <f t="shared" si="2"/>
        <v>341600000</v>
      </c>
      <c r="Y17" s="580">
        <f t="shared" si="3"/>
        <v>261635625.20187607</v>
      </c>
    </row>
    <row r="18" spans="2:33" ht="15">
      <c r="B18" s="1614" t="s">
        <v>779</v>
      </c>
      <c r="C18" s="1616"/>
      <c r="D18" s="94" t="s">
        <v>776</v>
      </c>
      <c r="E18" s="94" t="s">
        <v>407</v>
      </c>
      <c r="F18" s="94" t="s">
        <v>777</v>
      </c>
      <c r="G18" s="94" t="s">
        <v>454</v>
      </c>
      <c r="S18" s="90"/>
      <c r="T18" s="584"/>
      <c r="U18" s="585"/>
      <c r="V18" s="585">
        <f>SUM(V8:V17)</f>
        <v>320000000</v>
      </c>
      <c r="W18" s="585">
        <f>SUM(W8:W17)</f>
        <v>216177534.24657536</v>
      </c>
      <c r="X18" s="586">
        <f>SUM(X8:X17)</f>
        <v>536177534.24657536</v>
      </c>
      <c r="Y18" s="587">
        <f>SUM(Y12:Y17)</f>
        <v>356671648.07554811</v>
      </c>
      <c r="Z18" s="530">
        <f>Y18/V18*100</f>
        <v>111.45989002360879</v>
      </c>
      <c r="AB18" s="588"/>
    </row>
    <row r="19" spans="2:33">
      <c r="B19" s="522" t="str">
        <f>B29</f>
        <v>Arrendamientos financieros (b)</v>
      </c>
      <c r="C19" s="522"/>
      <c r="D19" s="581">
        <f>M30*1000/I3</f>
        <v>2700586.5102639296</v>
      </c>
      <c r="E19" s="582">
        <v>7.0000000000000007E-2</v>
      </c>
      <c r="F19" s="583">
        <f>D19/D21</f>
        <v>4.3699650988436979E-3</v>
      </c>
      <c r="G19" s="583">
        <f>E19*F19</f>
        <v>3.058975569190589E-4</v>
      </c>
      <c r="S19" s="90"/>
      <c r="T19" s="90"/>
      <c r="U19" s="90"/>
      <c r="V19" s="90"/>
      <c r="W19" s="1029"/>
      <c r="X19" s="590">
        <f>V18/(1+W3)^-((T17-T3)/365)</f>
        <v>615264667.76763892</v>
      </c>
      <c r="AB19" s="588"/>
    </row>
    <row r="20" spans="2:33">
      <c r="B20" s="522" t="str">
        <f>B32</f>
        <v>Bonos Corporativos Internacionales (c)</v>
      </c>
      <c r="C20" s="522"/>
      <c r="D20" s="587">
        <f>F10</f>
        <v>615287532.20000005</v>
      </c>
      <c r="E20" s="589">
        <f>F9</f>
        <v>4.62748275862069E-2</v>
      </c>
      <c r="F20" s="559">
        <f>D20/D21</f>
        <v>0.99563003490115631</v>
      </c>
      <c r="G20" s="583">
        <f>E20*F20</f>
        <v>4.6072608204700168E-2</v>
      </c>
      <c r="S20" s="90"/>
      <c r="X20" s="416"/>
    </row>
    <row r="21" spans="2:33">
      <c r="D21" s="587">
        <f>SUM(D19:D20)</f>
        <v>617988118.71026397</v>
      </c>
      <c r="E21" s="522"/>
      <c r="F21" s="559">
        <f>SUM(F19:F20)</f>
        <v>1</v>
      </c>
      <c r="G21" s="583">
        <f>SUM(G19:G20)</f>
        <v>4.6378505761619226E-2</v>
      </c>
      <c r="X21" s="591">
        <v>2.8</v>
      </c>
      <c r="Y21" s="592">
        <v>2.9889999999999999</v>
      </c>
      <c r="Z21" s="530">
        <v>3.3998706896551725</v>
      </c>
    </row>
    <row r="22" spans="2:33" ht="30">
      <c r="T22" s="540" t="s">
        <v>404</v>
      </c>
      <c r="U22" s="540" t="s">
        <v>405</v>
      </c>
      <c r="V22" s="540" t="s">
        <v>406</v>
      </c>
      <c r="W22" s="540" t="s">
        <v>407</v>
      </c>
      <c r="X22" s="541" t="s">
        <v>408</v>
      </c>
      <c r="Y22" s="541" t="s">
        <v>409</v>
      </c>
      <c r="Z22" s="541" t="s">
        <v>410</v>
      </c>
    </row>
    <row r="23" spans="2:33">
      <c r="O23" s="593"/>
      <c r="R23" s="594"/>
      <c r="T23" s="597">
        <f>L8</f>
        <v>41373</v>
      </c>
      <c r="U23" s="597">
        <f>M8</f>
        <v>45264</v>
      </c>
      <c r="V23" s="598">
        <f>G8</f>
        <v>260000000</v>
      </c>
      <c r="W23" s="599">
        <f>N8</f>
        <v>4.6249999999999999E-2</v>
      </c>
      <c r="X23" s="600">
        <f>V23*X21</f>
        <v>728000000</v>
      </c>
      <c r="Y23" s="600">
        <f>V23*Y21</f>
        <v>777140000</v>
      </c>
      <c r="Z23" s="600">
        <f>V23*Z21</f>
        <v>883966379.31034482</v>
      </c>
      <c r="AG23" s="601"/>
    </row>
    <row r="24" spans="2:33" ht="18">
      <c r="B24" s="595" t="s">
        <v>778</v>
      </c>
      <c r="C24" s="595"/>
      <c r="D24" s="595"/>
      <c r="O24" s="596"/>
      <c r="P24" s="457"/>
      <c r="Q24" s="457"/>
      <c r="X24" s="602">
        <f>SUM(X3:X23)</f>
        <v>3311619739.0607901</v>
      </c>
      <c r="Y24" s="602">
        <f>SUM(Y3:Y23)</f>
        <v>2446963299.1400967</v>
      </c>
      <c r="Z24" s="603">
        <f>SUM(Z3:Z23)</f>
        <v>1971925114.8597608</v>
      </c>
    </row>
    <row r="25" spans="2:33">
      <c r="B25" s="155" t="s">
        <v>417</v>
      </c>
      <c r="O25" s="435"/>
      <c r="P25" s="457"/>
      <c r="Q25" s="457"/>
      <c r="V25" s="601"/>
      <c r="Y25" s="605"/>
      <c r="Z25" s="605"/>
      <c r="AA25" s="605"/>
    </row>
    <row r="26" spans="2:33" ht="15">
      <c r="B26" s="419"/>
      <c r="C26" s="604"/>
      <c r="D26" s="420"/>
      <c r="E26" s="419"/>
      <c r="F26" s="420"/>
      <c r="G26" s="548"/>
      <c r="H26" s="548"/>
      <c r="I26" s="1614" t="s">
        <v>418</v>
      </c>
      <c r="J26" s="1616"/>
      <c r="K26" s="1614" t="s">
        <v>419</v>
      </c>
      <c r="L26" s="1616"/>
      <c r="M26" s="1614" t="s">
        <v>420</v>
      </c>
      <c r="N26" s="1616"/>
      <c r="O26" s="421"/>
      <c r="P26" s="457"/>
      <c r="Q26" s="457"/>
      <c r="T26" s="1751"/>
      <c r="U26" s="1752"/>
      <c r="V26" s="1752"/>
      <c r="W26" s="1752"/>
      <c r="X26" s="1753"/>
      <c r="Y26" s="548"/>
      <c r="AA26" s="605"/>
      <c r="AF26" s="605"/>
    </row>
    <row r="27" spans="2:33" ht="15">
      <c r="B27" s="606" t="s">
        <v>421</v>
      </c>
      <c r="C27" s="540"/>
      <c r="D27" s="607"/>
      <c r="E27" s="608" t="s">
        <v>422</v>
      </c>
      <c r="F27" s="607"/>
      <c r="G27" s="609" t="s">
        <v>423</v>
      </c>
      <c r="H27" s="609" t="s">
        <v>424</v>
      </c>
      <c r="I27" s="606">
        <v>2015</v>
      </c>
      <c r="J27" s="607">
        <v>2014</v>
      </c>
      <c r="K27" s="606">
        <v>2015</v>
      </c>
      <c r="L27" s="607">
        <v>2014</v>
      </c>
      <c r="M27" s="606">
        <v>2015</v>
      </c>
      <c r="N27" s="607">
        <v>2014</v>
      </c>
      <c r="O27" s="421"/>
      <c r="P27" s="457"/>
      <c r="Q27" s="457"/>
      <c r="T27" s="549" t="s">
        <v>411</v>
      </c>
      <c r="U27" s="550" t="s">
        <v>412</v>
      </c>
      <c r="V27" s="550" t="s">
        <v>413</v>
      </c>
      <c r="W27" s="550" t="s">
        <v>414</v>
      </c>
      <c r="X27" s="551" t="s">
        <v>430</v>
      </c>
      <c r="Y27" s="552"/>
    </row>
    <row r="28" spans="2:33">
      <c r="B28" s="419"/>
      <c r="C28" s="604"/>
      <c r="D28" s="604"/>
      <c r="E28" s="610"/>
      <c r="F28" s="420"/>
      <c r="G28" s="548"/>
      <c r="H28" s="420"/>
      <c r="I28" s="611">
        <v>0</v>
      </c>
      <c r="J28" s="612">
        <v>0</v>
      </c>
      <c r="K28" s="611">
        <v>0</v>
      </c>
      <c r="L28" s="612">
        <v>0</v>
      </c>
      <c r="M28" s="611">
        <v>0</v>
      </c>
      <c r="N28" s="612">
        <v>0</v>
      </c>
      <c r="O28" s="421"/>
      <c r="P28" s="457"/>
      <c r="Q28" s="457"/>
      <c r="T28" s="566">
        <v>41373</v>
      </c>
      <c r="U28" s="561">
        <f>V23</f>
        <v>260000000</v>
      </c>
      <c r="V28" s="561">
        <v>0</v>
      </c>
      <c r="W28" s="561"/>
      <c r="X28" s="567">
        <f>SUM(V28:W28)</f>
        <v>0</v>
      </c>
      <c r="Y28" s="552"/>
    </row>
    <row r="29" spans="2:33" ht="15">
      <c r="B29" s="258" t="s">
        <v>425</v>
      </c>
      <c r="C29" s="613"/>
      <c r="D29" s="613"/>
      <c r="E29" s="614"/>
      <c r="F29" s="422"/>
      <c r="G29" s="552"/>
      <c r="H29" s="422"/>
      <c r="I29" s="615"/>
      <c r="J29" s="616"/>
      <c r="K29" s="615"/>
      <c r="L29" s="616"/>
      <c r="M29" s="615"/>
      <c r="N29" s="616"/>
      <c r="O29" s="421"/>
      <c r="P29" s="457"/>
      <c r="Q29" s="457"/>
      <c r="T29" s="560">
        <v>41738</v>
      </c>
      <c r="U29" s="561">
        <f>U28</f>
        <v>260000000</v>
      </c>
      <c r="V29" s="561">
        <v>0</v>
      </c>
      <c r="W29" s="561">
        <f t="shared" ref="W29" si="4">U29*$W$23*((T29-T28)/365)</f>
        <v>12025000</v>
      </c>
      <c r="X29" s="567">
        <f t="shared" ref="X29:X37" si="5">SUM(V29:W29)</f>
        <v>12025000</v>
      </c>
      <c r="Y29" s="552"/>
      <c r="AC29" s="457"/>
      <c r="AD29" s="457"/>
      <c r="AE29" s="457"/>
      <c r="AF29" s="457"/>
      <c r="AG29" s="457"/>
    </row>
    <row r="30" spans="2:33">
      <c r="B30" s="421" t="s">
        <v>426</v>
      </c>
      <c r="C30" s="457"/>
      <c r="D30" s="457"/>
      <c r="E30" s="614" t="s">
        <v>427</v>
      </c>
      <c r="F30" s="617"/>
      <c r="G30" s="618" t="s">
        <v>428</v>
      </c>
      <c r="H30" s="617" t="s">
        <v>429</v>
      </c>
      <c r="I30" s="434">
        <v>4647</v>
      </c>
      <c r="J30" s="436">
        <v>16798</v>
      </c>
      <c r="K30" s="434">
        <v>4562</v>
      </c>
      <c r="L30" s="436">
        <v>9926</v>
      </c>
      <c r="M30" s="434">
        <f>SUM(I30,K30)</f>
        <v>9209</v>
      </c>
      <c r="N30" s="436">
        <f>SUM(J30,L30)</f>
        <v>26724</v>
      </c>
      <c r="O30" s="619"/>
      <c r="P30" s="620"/>
      <c r="Q30" s="621"/>
      <c r="T30" s="566">
        <v>42103</v>
      </c>
      <c r="U30" s="561">
        <f t="shared" ref="U30:U38" si="6">U29</f>
        <v>260000000</v>
      </c>
      <c r="V30" s="561">
        <v>0</v>
      </c>
      <c r="W30" s="561">
        <f t="shared" ref="W30:W38" si="7">U30*$W$23*((T30-T29)/365)</f>
        <v>12025000</v>
      </c>
      <c r="X30" s="567">
        <f t="shared" si="5"/>
        <v>12025000</v>
      </c>
      <c r="Y30" s="552"/>
      <c r="AC30" s="457"/>
      <c r="AD30" s="457"/>
      <c r="AE30" s="457"/>
      <c r="AF30" s="457"/>
      <c r="AG30" s="623"/>
    </row>
    <row r="31" spans="2:33">
      <c r="B31" s="421"/>
      <c r="C31" s="457"/>
      <c r="D31" s="457"/>
      <c r="E31" s="614"/>
      <c r="F31" s="617"/>
      <c r="G31" s="618"/>
      <c r="H31" s="617"/>
      <c r="I31" s="434"/>
      <c r="J31" s="436"/>
      <c r="K31" s="434"/>
      <c r="L31" s="436"/>
      <c r="M31" s="434"/>
      <c r="N31" s="436"/>
      <c r="O31" s="622"/>
      <c r="P31" s="457"/>
      <c r="Q31" s="457"/>
      <c r="T31" s="624">
        <v>42469</v>
      </c>
      <c r="U31" s="578">
        <f t="shared" si="6"/>
        <v>260000000</v>
      </c>
      <c r="V31" s="578">
        <v>0</v>
      </c>
      <c r="W31" s="578">
        <f t="shared" si="7"/>
        <v>12057945.205479452</v>
      </c>
      <c r="X31" s="579">
        <f t="shared" si="5"/>
        <v>12057945.205479452</v>
      </c>
      <c r="Y31" s="580">
        <f>X31/(1+$F$8/100)^((T31-$C$3)/360)</f>
        <v>11904676.084830526</v>
      </c>
      <c r="AC31" s="457"/>
      <c r="AD31" s="457"/>
      <c r="AE31" s="457"/>
      <c r="AF31" s="457"/>
      <c r="AG31" s="623"/>
    </row>
    <row r="32" spans="2:33" ht="15">
      <c r="B32" s="258" t="s">
        <v>431</v>
      </c>
      <c r="C32" s="613"/>
      <c r="D32" s="613"/>
      <c r="E32" s="614"/>
      <c r="F32" s="617"/>
      <c r="G32" s="618"/>
      <c r="H32" s="617"/>
      <c r="I32" s="434"/>
      <c r="J32" s="436"/>
      <c r="K32" s="434"/>
      <c r="L32" s="436"/>
      <c r="M32" s="434"/>
      <c r="N32" s="436"/>
      <c r="O32" s="622"/>
      <c r="P32" s="457"/>
      <c r="Q32" s="457"/>
      <c r="T32" s="566">
        <v>42834</v>
      </c>
      <c r="U32" s="561">
        <f t="shared" si="6"/>
        <v>260000000</v>
      </c>
      <c r="V32" s="561">
        <v>0</v>
      </c>
      <c r="W32" s="561">
        <f t="shared" si="7"/>
        <v>12025000</v>
      </c>
      <c r="X32" s="567">
        <f t="shared" si="5"/>
        <v>12025000</v>
      </c>
      <c r="Y32" s="580">
        <f t="shared" ref="Y32:Y38" si="8">X32/(1+$F$8/100)^((T32-$C$3)/360)</f>
        <v>11330549.537493188</v>
      </c>
      <c r="AC32" s="1754"/>
      <c r="AD32" s="1754"/>
      <c r="AE32" s="1754"/>
      <c r="AF32" s="457"/>
      <c r="AG32" s="623"/>
    </row>
    <row r="33" spans="2:33" ht="15">
      <c r="B33" s="421" t="s">
        <v>432</v>
      </c>
      <c r="C33" s="457"/>
      <c r="D33" s="457"/>
      <c r="E33" s="614" t="s">
        <v>433</v>
      </c>
      <c r="F33" s="617"/>
      <c r="G33" s="618" t="s">
        <v>434</v>
      </c>
      <c r="H33" s="617" t="s">
        <v>435</v>
      </c>
      <c r="I33" s="625">
        <v>0</v>
      </c>
      <c r="J33" s="626">
        <v>0</v>
      </c>
      <c r="K33" s="434">
        <v>1979539</v>
      </c>
      <c r="L33" s="436">
        <v>1733620</v>
      </c>
      <c r="M33" s="434">
        <f t="shared" ref="M33:N35" si="9">SUM(I33,K33)</f>
        <v>1979539</v>
      </c>
      <c r="N33" s="436">
        <f t="shared" si="9"/>
        <v>1733620</v>
      </c>
      <c r="O33" s="627"/>
      <c r="P33" s="628"/>
      <c r="Q33" s="621"/>
      <c r="T33" s="560">
        <v>43199</v>
      </c>
      <c r="U33" s="561">
        <f t="shared" si="6"/>
        <v>260000000</v>
      </c>
      <c r="V33" s="561">
        <v>0</v>
      </c>
      <c r="W33" s="561">
        <f t="shared" si="7"/>
        <v>12025000</v>
      </c>
      <c r="X33" s="567">
        <f t="shared" si="5"/>
        <v>12025000</v>
      </c>
      <c r="Y33" s="580">
        <f t="shared" si="8"/>
        <v>10813656.88894151</v>
      </c>
      <c r="AC33" s="632"/>
      <c r="AD33" s="632"/>
      <c r="AE33" s="632"/>
      <c r="AF33" s="457"/>
      <c r="AG33" s="623"/>
    </row>
    <row r="34" spans="2:33">
      <c r="B34" s="421" t="s">
        <v>436</v>
      </c>
      <c r="C34" s="457"/>
      <c r="D34" s="457"/>
      <c r="E34" s="614" t="s">
        <v>433</v>
      </c>
      <c r="F34" s="617"/>
      <c r="G34" s="618" t="s">
        <v>437</v>
      </c>
      <c r="H34" s="617" t="s">
        <v>438</v>
      </c>
      <c r="I34" s="434">
        <v>0</v>
      </c>
      <c r="J34" s="436">
        <v>13794</v>
      </c>
      <c r="K34" s="434">
        <v>0</v>
      </c>
      <c r="L34" s="436">
        <v>3389</v>
      </c>
      <c r="M34" s="434">
        <f t="shared" si="9"/>
        <v>0</v>
      </c>
      <c r="N34" s="436">
        <f t="shared" si="9"/>
        <v>17183</v>
      </c>
      <c r="O34" s="619"/>
      <c r="P34" s="629"/>
      <c r="Q34" s="630"/>
      <c r="R34" s="631"/>
      <c r="T34" s="566">
        <v>43564</v>
      </c>
      <c r="U34" s="561">
        <f t="shared" si="6"/>
        <v>260000000</v>
      </c>
      <c r="V34" s="561">
        <v>0</v>
      </c>
      <c r="W34" s="561">
        <f t="shared" si="7"/>
        <v>12025000</v>
      </c>
      <c r="X34" s="567">
        <f t="shared" si="5"/>
        <v>12025000</v>
      </c>
      <c r="Y34" s="580">
        <f t="shared" si="8"/>
        <v>10320344.562707178</v>
      </c>
      <c r="AC34" s="561"/>
      <c r="AD34" s="561"/>
      <c r="AE34" s="561"/>
      <c r="AF34" s="457"/>
      <c r="AG34" s="623"/>
    </row>
    <row r="35" spans="2:33">
      <c r="B35" s="421" t="s">
        <v>439</v>
      </c>
      <c r="C35" s="457"/>
      <c r="D35" s="457"/>
      <c r="E35" s="614" t="s">
        <v>433</v>
      </c>
      <c r="F35" s="617"/>
      <c r="G35" s="618" t="s">
        <v>440</v>
      </c>
      <c r="H35" s="617">
        <v>2017</v>
      </c>
      <c r="I35" s="434">
        <v>0</v>
      </c>
      <c r="J35" s="436">
        <v>727</v>
      </c>
      <c r="K35" s="434"/>
      <c r="L35" s="436">
        <v>1269</v>
      </c>
      <c r="M35" s="434">
        <f t="shared" si="9"/>
        <v>0</v>
      </c>
      <c r="N35" s="436">
        <f t="shared" si="9"/>
        <v>1996</v>
      </c>
      <c r="O35" s="619"/>
      <c r="P35" s="629"/>
      <c r="Q35" s="630"/>
      <c r="R35" s="631"/>
      <c r="T35" s="560">
        <v>43930</v>
      </c>
      <c r="U35" s="561">
        <f t="shared" si="6"/>
        <v>260000000</v>
      </c>
      <c r="V35" s="561">
        <v>0</v>
      </c>
      <c r="W35" s="561">
        <f t="shared" si="7"/>
        <v>12057945.205479452</v>
      </c>
      <c r="X35" s="567">
        <f t="shared" si="5"/>
        <v>12057945.205479452</v>
      </c>
      <c r="Y35" s="580">
        <f t="shared" si="8"/>
        <v>9875258.4958575517</v>
      </c>
      <c r="AC35" s="561"/>
      <c r="AD35" s="561"/>
      <c r="AE35" s="561"/>
      <c r="AF35" s="457"/>
      <c r="AG35" s="623"/>
    </row>
    <row r="36" spans="2:33">
      <c r="B36" s="421"/>
      <c r="C36" s="457"/>
      <c r="D36" s="457"/>
      <c r="E36" s="614"/>
      <c r="F36" s="617"/>
      <c r="G36" s="618"/>
      <c r="H36" s="617"/>
      <c r="I36" s="434"/>
      <c r="J36" s="436"/>
      <c r="K36" s="434"/>
      <c r="L36" s="436"/>
      <c r="M36" s="434"/>
      <c r="N36" s="436"/>
      <c r="O36" s="622"/>
      <c r="P36" s="495"/>
      <c r="Q36" s="495"/>
      <c r="R36" s="631"/>
      <c r="T36" s="566">
        <v>44295</v>
      </c>
      <c r="U36" s="561">
        <f t="shared" si="6"/>
        <v>260000000</v>
      </c>
      <c r="V36" s="561">
        <v>0</v>
      </c>
      <c r="W36" s="561">
        <f t="shared" si="7"/>
        <v>12025000</v>
      </c>
      <c r="X36" s="567">
        <f t="shared" si="5"/>
        <v>12025000</v>
      </c>
      <c r="Y36" s="580">
        <f t="shared" si="8"/>
        <v>9399004.6252028979</v>
      </c>
      <c r="AC36" s="561"/>
      <c r="AD36" s="561"/>
      <c r="AE36" s="561"/>
      <c r="AF36" s="457"/>
      <c r="AG36" s="623"/>
    </row>
    <row r="37" spans="2:33" ht="15">
      <c r="B37" s="260" t="s">
        <v>441</v>
      </c>
      <c r="C37" s="537"/>
      <c r="D37" s="537"/>
      <c r="E37" s="633" t="s">
        <v>433</v>
      </c>
      <c r="F37" s="634"/>
      <c r="G37" s="635">
        <v>0</v>
      </c>
      <c r="H37" s="636">
        <v>0</v>
      </c>
      <c r="I37" s="443">
        <v>22</v>
      </c>
      <c r="J37" s="445">
        <v>10411</v>
      </c>
      <c r="K37" s="443">
        <v>0</v>
      </c>
      <c r="L37" s="445">
        <v>0</v>
      </c>
      <c r="M37" s="443">
        <f t="shared" ref="M37:N37" si="10">SUM(I37,K37)</f>
        <v>22</v>
      </c>
      <c r="N37" s="445">
        <f t="shared" si="10"/>
        <v>10411</v>
      </c>
      <c r="O37" s="619"/>
      <c r="P37" s="495"/>
      <c r="Q37" s="630"/>
      <c r="R37" s="631"/>
      <c r="T37" s="560">
        <v>44660</v>
      </c>
      <c r="U37" s="561">
        <f t="shared" si="6"/>
        <v>260000000</v>
      </c>
      <c r="V37" s="561">
        <v>0</v>
      </c>
      <c r="W37" s="561">
        <f t="shared" si="7"/>
        <v>12025000</v>
      </c>
      <c r="X37" s="567">
        <f t="shared" si="5"/>
        <v>12025000</v>
      </c>
      <c r="Y37" s="580">
        <f t="shared" si="8"/>
        <v>8970227.8586043864</v>
      </c>
      <c r="AC37" s="561"/>
      <c r="AD37" s="561"/>
      <c r="AE37" s="561"/>
      <c r="AF37" s="457"/>
      <c r="AG37" s="623"/>
    </row>
    <row r="38" spans="2:33">
      <c r="B38" s="421"/>
      <c r="C38" s="457"/>
      <c r="D38" s="457"/>
      <c r="E38" s="637"/>
      <c r="F38" s="457"/>
      <c r="G38" s="457"/>
      <c r="H38" s="422"/>
      <c r="I38" s="434">
        <f t="shared" ref="I38:N38" si="11">SUM(I30:I37)</f>
        <v>4669</v>
      </c>
      <c r="J38" s="436">
        <f t="shared" si="11"/>
        <v>41730</v>
      </c>
      <c r="K38" s="434">
        <f t="shared" si="11"/>
        <v>1984101</v>
      </c>
      <c r="L38" s="436">
        <f t="shared" si="11"/>
        <v>1748204</v>
      </c>
      <c r="M38" s="638">
        <f t="shared" si="11"/>
        <v>1988770</v>
      </c>
      <c r="N38" s="639">
        <f t="shared" si="11"/>
        <v>1789934</v>
      </c>
      <c r="O38" s="622"/>
      <c r="P38" s="495"/>
      <c r="Q38" s="640"/>
      <c r="R38" s="631"/>
      <c r="T38" s="566">
        <v>45025</v>
      </c>
      <c r="U38" s="561">
        <f t="shared" si="6"/>
        <v>260000000</v>
      </c>
      <c r="V38" s="561">
        <f>U38</f>
        <v>260000000</v>
      </c>
      <c r="W38" s="561">
        <f t="shared" si="7"/>
        <v>12025000</v>
      </c>
      <c r="X38" s="567">
        <f t="shared" ref="X38" si="12">SUM(V38:W38)</f>
        <v>272025000</v>
      </c>
      <c r="Y38" s="580">
        <f t="shared" si="8"/>
        <v>193663965.62006658</v>
      </c>
      <c r="AC38" s="561"/>
      <c r="AD38" s="561"/>
      <c r="AE38" s="561"/>
      <c r="AF38" s="457"/>
      <c r="AG38" s="623"/>
    </row>
    <row r="39" spans="2:33" ht="15" customHeight="1">
      <c r="B39" s="534" t="s">
        <v>442</v>
      </c>
      <c r="C39" s="641"/>
      <c r="D39" s="641"/>
      <c r="E39" s="642"/>
      <c r="F39" s="641"/>
      <c r="G39" s="641"/>
      <c r="H39" s="440"/>
      <c r="I39" s="443">
        <v>-1389</v>
      </c>
      <c r="J39" s="445">
        <v>-1308</v>
      </c>
      <c r="K39" s="443">
        <v>-7615</v>
      </c>
      <c r="L39" s="445">
        <v>-9004</v>
      </c>
      <c r="M39" s="443">
        <f t="shared" ref="M39:N39" si="13">SUM(I39,K39)</f>
        <v>-9004</v>
      </c>
      <c r="N39" s="445">
        <f t="shared" si="13"/>
        <v>-10312</v>
      </c>
      <c r="O39" s="421"/>
      <c r="P39" s="495"/>
      <c r="Q39" s="495"/>
      <c r="R39" s="631"/>
      <c r="T39" s="644"/>
      <c r="U39" s="447"/>
      <c r="V39" s="585">
        <f>SUM(V28:V38)</f>
        <v>260000000</v>
      </c>
      <c r="W39" s="585">
        <f t="shared" ref="W39" si="14">SUM(W28:W38)</f>
        <v>120315890.4109589</v>
      </c>
      <c r="X39" s="586">
        <f>SUM(X28:X38)</f>
        <v>380315890.41095889</v>
      </c>
      <c r="Y39" s="587">
        <f>SUM(Y31:Y38)</f>
        <v>266277683.67370382</v>
      </c>
      <c r="Z39" s="530">
        <f>Y39/V39*100</f>
        <v>102.41449372065532</v>
      </c>
      <c r="AC39" s="561"/>
      <c r="AD39" s="561"/>
      <c r="AE39" s="561"/>
      <c r="AF39" s="457"/>
      <c r="AG39" s="623"/>
    </row>
    <row r="40" spans="2:33">
      <c r="B40" s="534" t="s">
        <v>443</v>
      </c>
      <c r="C40" s="641"/>
      <c r="D40" s="641"/>
      <c r="E40" s="642"/>
      <c r="F40" s="641"/>
      <c r="G40" s="641"/>
      <c r="H40" s="440"/>
      <c r="I40" s="643">
        <f>SUM(I38:I39)</f>
        <v>3280</v>
      </c>
      <c r="J40" s="445">
        <f t="shared" ref="J40:N40" si="15">SUM(J38:J39)</f>
        <v>40422</v>
      </c>
      <c r="K40" s="643">
        <f t="shared" si="15"/>
        <v>1976486</v>
      </c>
      <c r="L40" s="445">
        <f t="shared" si="15"/>
        <v>1739200</v>
      </c>
      <c r="M40" s="443">
        <f t="shared" si="15"/>
        <v>1979766</v>
      </c>
      <c r="N40" s="445">
        <f t="shared" si="15"/>
        <v>1779622</v>
      </c>
      <c r="O40" s="421"/>
      <c r="P40" s="495"/>
      <c r="Q40" s="495"/>
      <c r="R40" s="631"/>
      <c r="T40" s="544"/>
      <c r="U40" s="544"/>
      <c r="V40" s="645"/>
      <c r="W40" s="645"/>
      <c r="Z40" s="593"/>
      <c r="AC40" s="561"/>
      <c r="AD40" s="561"/>
      <c r="AE40" s="561"/>
      <c r="AF40" s="457"/>
      <c r="AG40" s="623"/>
    </row>
    <row r="41" spans="2:33">
      <c r="N41" s="601"/>
      <c r="O41" s="457"/>
      <c r="P41" s="495"/>
      <c r="Q41" s="495"/>
      <c r="R41" s="631"/>
      <c r="Y41" s="601">
        <f>Y39+Y18</f>
        <v>622949331.74925196</v>
      </c>
      <c r="AC41" s="561"/>
      <c r="AD41" s="561"/>
      <c r="AE41" s="561"/>
      <c r="AF41" s="457"/>
      <c r="AG41" s="623"/>
    </row>
    <row r="42" spans="2:33">
      <c r="N42" s="416"/>
      <c r="O42" s="457"/>
      <c r="P42" s="495"/>
      <c r="Q42" s="495"/>
      <c r="R42" s="631"/>
      <c r="AC42" s="561"/>
      <c r="AD42" s="561"/>
      <c r="AE42" s="561"/>
      <c r="AF42" s="457"/>
      <c r="AG42" s="623"/>
    </row>
    <row r="43" spans="2:33" ht="15" customHeight="1">
      <c r="B43" s="1755" t="s">
        <v>444</v>
      </c>
      <c r="C43" s="1755"/>
      <c r="D43" s="1755"/>
      <c r="E43" s="1755"/>
      <c r="F43" s="1755"/>
      <c r="G43" s="1755"/>
      <c r="H43" s="1755"/>
      <c r="I43" s="1755"/>
      <c r="J43" s="1755"/>
      <c r="K43" s="1755"/>
      <c r="L43" s="1755"/>
      <c r="M43" s="1755"/>
      <c r="N43" s="1755"/>
      <c r="O43" s="457"/>
      <c r="P43" s="457"/>
      <c r="Q43" s="457"/>
      <c r="AC43" s="561"/>
      <c r="AD43" s="561"/>
      <c r="AE43" s="561"/>
      <c r="AF43" s="457"/>
      <c r="AG43" s="457"/>
    </row>
    <row r="44" spans="2:33">
      <c r="B44" s="1755"/>
      <c r="C44" s="1755"/>
      <c r="D44" s="1755"/>
      <c r="E44" s="1755"/>
      <c r="F44" s="1755"/>
      <c r="G44" s="1755"/>
      <c r="H44" s="1755"/>
      <c r="I44" s="1755"/>
      <c r="J44" s="1755"/>
      <c r="K44" s="1755"/>
      <c r="L44" s="1755"/>
      <c r="M44" s="1755"/>
      <c r="N44" s="1755"/>
      <c r="O44" s="457"/>
      <c r="P44" s="457"/>
      <c r="Q44" s="457"/>
      <c r="AC44" s="561"/>
      <c r="AD44" s="561"/>
      <c r="AE44" s="561"/>
      <c r="AF44" s="457"/>
      <c r="AG44" s="457"/>
    </row>
    <row r="45" spans="2:33">
      <c r="B45" s="1755"/>
      <c r="C45" s="1755"/>
      <c r="D45" s="1755"/>
      <c r="E45" s="1755"/>
      <c r="F45" s="1755"/>
      <c r="G45" s="1755"/>
      <c r="H45" s="1755"/>
      <c r="I45" s="1755"/>
      <c r="J45" s="1755"/>
      <c r="K45" s="1755"/>
      <c r="L45" s="1755"/>
      <c r="M45" s="1755"/>
      <c r="N45" s="1755"/>
      <c r="O45" s="457"/>
      <c r="P45" s="457"/>
      <c r="Q45" s="457"/>
      <c r="AC45" s="561"/>
      <c r="AD45" s="561"/>
      <c r="AE45" s="561"/>
      <c r="AF45" s="457"/>
      <c r="AG45" s="457"/>
    </row>
    <row r="46" spans="2:33">
      <c r="B46" s="646"/>
      <c r="C46" s="646"/>
      <c r="D46" s="646"/>
      <c r="E46" s="646"/>
      <c r="F46" s="646"/>
      <c r="G46" s="646"/>
      <c r="H46" s="646"/>
      <c r="I46" s="646"/>
      <c r="J46" s="646"/>
      <c r="K46" s="646"/>
      <c r="L46" s="646"/>
      <c r="M46" s="646"/>
      <c r="N46" s="646"/>
      <c r="O46" s="457"/>
      <c r="P46" s="457"/>
      <c r="Q46" s="457"/>
      <c r="AC46" s="561"/>
      <c r="AD46" s="561"/>
      <c r="AE46" s="561"/>
      <c r="AF46" s="457"/>
      <c r="AG46" s="457"/>
    </row>
    <row r="47" spans="2:33">
      <c r="B47" s="1750" t="s">
        <v>445</v>
      </c>
      <c r="C47" s="1750"/>
      <c r="D47" s="1750"/>
      <c r="E47" s="1750"/>
      <c r="F47" s="1750"/>
      <c r="G47" s="1750"/>
      <c r="H47" s="1750"/>
      <c r="I47" s="1750"/>
      <c r="J47" s="1750"/>
      <c r="K47" s="1750"/>
      <c r="L47" s="1750"/>
      <c r="M47" s="1750"/>
      <c r="N47" s="1750"/>
      <c r="AC47" s="561"/>
      <c r="AD47" s="561"/>
      <c r="AE47" s="561"/>
      <c r="AF47" s="457"/>
      <c r="AG47" s="457"/>
    </row>
    <row r="48" spans="2:33">
      <c r="B48" s="1750"/>
      <c r="C48" s="1750"/>
      <c r="D48" s="1750"/>
      <c r="E48" s="1750"/>
      <c r="F48" s="1750"/>
      <c r="G48" s="1750"/>
      <c r="H48" s="1750"/>
      <c r="I48" s="1750"/>
      <c r="J48" s="1750"/>
      <c r="K48" s="1750"/>
      <c r="L48" s="1750"/>
      <c r="M48" s="1750"/>
      <c r="N48" s="1750"/>
      <c r="AC48" s="561"/>
      <c r="AD48" s="561"/>
      <c r="AE48" s="561"/>
      <c r="AF48" s="457"/>
      <c r="AG48" s="457"/>
    </row>
    <row r="49" spans="2:33">
      <c r="B49" s="1750"/>
      <c r="C49" s="1750"/>
      <c r="D49" s="1750"/>
      <c r="E49" s="1750"/>
      <c r="F49" s="1750"/>
      <c r="G49" s="1750"/>
      <c r="H49" s="1750"/>
      <c r="I49" s="1750"/>
      <c r="J49" s="1750"/>
      <c r="K49" s="1750"/>
      <c r="L49" s="1750"/>
      <c r="M49" s="1750"/>
      <c r="N49" s="1750"/>
      <c r="AC49" s="457"/>
      <c r="AD49" s="457"/>
      <c r="AE49" s="457"/>
      <c r="AF49" s="457"/>
      <c r="AG49" s="457"/>
    </row>
    <row r="50" spans="2:33">
      <c r="B50" s="1750"/>
      <c r="C50" s="1750"/>
      <c r="D50" s="1750"/>
      <c r="E50" s="1750"/>
      <c r="F50" s="1750"/>
      <c r="G50" s="1750"/>
      <c r="H50" s="1750"/>
      <c r="I50" s="1750"/>
      <c r="J50" s="1750"/>
      <c r="K50" s="1750"/>
      <c r="L50" s="1750"/>
      <c r="M50" s="1750"/>
      <c r="N50" s="1750"/>
    </row>
    <row r="51" spans="2:33">
      <c r="B51" s="1750"/>
      <c r="C51" s="1750"/>
      <c r="D51" s="1750"/>
      <c r="E51" s="1750"/>
      <c r="F51" s="1750"/>
      <c r="G51" s="1750"/>
      <c r="H51" s="1750"/>
      <c r="I51" s="1750"/>
      <c r="J51" s="1750"/>
      <c r="K51" s="1750"/>
      <c r="L51" s="1750"/>
      <c r="M51" s="1750"/>
      <c r="N51" s="1750"/>
    </row>
    <row r="53" spans="2:33">
      <c r="B53" s="155" t="s">
        <v>446</v>
      </c>
    </row>
    <row r="57" spans="2:33" ht="15">
      <c r="C57" s="540">
        <v>2015</v>
      </c>
      <c r="D57" s="540">
        <v>2014</v>
      </c>
      <c r="F57" s="584"/>
      <c r="G57" s="447"/>
      <c r="H57" s="447"/>
      <c r="I57" s="550">
        <v>2014</v>
      </c>
      <c r="J57" s="551">
        <v>2013</v>
      </c>
    </row>
    <row r="58" spans="2:33">
      <c r="C58" s="601"/>
      <c r="D58" s="601"/>
      <c r="F58" s="421" t="s">
        <v>47</v>
      </c>
      <c r="G58" s="457"/>
      <c r="H58" s="457"/>
      <c r="I58" s="596">
        <v>1819246</v>
      </c>
      <c r="J58" s="647">
        <v>1711808</v>
      </c>
    </row>
    <row r="59" spans="2:33">
      <c r="B59" s="155">
        <v>2016</v>
      </c>
      <c r="C59" s="601">
        <v>0</v>
      </c>
      <c r="D59" s="601">
        <v>8836</v>
      </c>
      <c r="F59" s="421" t="s">
        <v>447</v>
      </c>
      <c r="G59" s="457"/>
      <c r="H59" s="457"/>
      <c r="I59" s="596">
        <v>657054</v>
      </c>
      <c r="J59" s="647">
        <v>700502</v>
      </c>
      <c r="L59" s="435"/>
      <c r="M59" s="435"/>
    </row>
    <row r="60" spans="2:33">
      <c r="B60" s="155">
        <v>2017</v>
      </c>
      <c r="C60" s="601">
        <v>2366</v>
      </c>
      <c r="D60" s="601">
        <v>3214</v>
      </c>
      <c r="F60" s="421" t="s">
        <v>448</v>
      </c>
      <c r="G60" s="457"/>
      <c r="H60" s="457"/>
      <c r="I60" s="596">
        <v>-99167</v>
      </c>
      <c r="J60" s="647">
        <v>-346662</v>
      </c>
      <c r="L60" s="435"/>
      <c r="M60" s="435"/>
    </row>
    <row r="61" spans="2:33">
      <c r="B61" s="155">
        <v>2018</v>
      </c>
      <c r="C61" s="444">
        <v>1981735</v>
      </c>
      <c r="D61" s="444">
        <v>1736154</v>
      </c>
      <c r="F61" s="648" t="s">
        <v>449</v>
      </c>
      <c r="G61" s="649"/>
      <c r="H61" s="649"/>
      <c r="I61" s="650">
        <f>SUM(I58:I60)</f>
        <v>2377133</v>
      </c>
      <c r="J61" s="651">
        <f>SUM(J58:J60)</f>
        <v>2065648</v>
      </c>
      <c r="L61" s="435"/>
      <c r="M61" s="435"/>
    </row>
    <row r="62" spans="2:33">
      <c r="C62" s="601">
        <f>SUM(C58:C61)</f>
        <v>1984101</v>
      </c>
      <c r="D62" s="601">
        <f>SUM(D58:D61)</f>
        <v>1748204</v>
      </c>
      <c r="F62" s="421" t="s">
        <v>450</v>
      </c>
      <c r="G62" s="457"/>
      <c r="H62" s="457"/>
      <c r="I62" s="596">
        <v>635720</v>
      </c>
      <c r="J62" s="647">
        <v>640319</v>
      </c>
      <c r="L62" s="435"/>
      <c r="M62" s="435"/>
    </row>
    <row r="63" spans="2:33">
      <c r="F63" s="421" t="s">
        <v>451</v>
      </c>
      <c r="G63" s="457"/>
      <c r="H63" s="457"/>
      <c r="I63" s="596">
        <f>SUM(I61:I62)</f>
        <v>3012853</v>
      </c>
      <c r="J63" s="647">
        <f>SUM(J61:J62)</f>
        <v>2705967</v>
      </c>
      <c r="L63" s="435"/>
      <c r="M63" s="435"/>
    </row>
    <row r="64" spans="2:33">
      <c r="F64" s="652" t="s">
        <v>452</v>
      </c>
      <c r="G64" s="653"/>
      <c r="H64" s="653"/>
      <c r="I64" s="654">
        <f>I61/I63</f>
        <v>0.78899733906699065</v>
      </c>
      <c r="J64" s="655">
        <f>J61/J63</f>
        <v>0.7633677720386095</v>
      </c>
      <c r="L64" s="435"/>
      <c r="M64" s="435"/>
    </row>
    <row r="69" spans="12:13">
      <c r="M69" s="601"/>
    </row>
    <row r="70" spans="12:13">
      <c r="M70" s="601"/>
    </row>
    <row r="71" spans="12:13">
      <c r="M71" s="601"/>
    </row>
    <row r="72" spans="12:13">
      <c r="M72" s="416"/>
    </row>
    <row r="78" spans="12:13">
      <c r="L78" s="593"/>
    </row>
    <row r="79" spans="12:13">
      <c r="L79" s="593"/>
    </row>
    <row r="83" spans="12:12">
      <c r="L83" s="656"/>
    </row>
    <row r="84" spans="12:12">
      <c r="L84" s="656"/>
    </row>
  </sheetData>
  <mergeCells count="29">
    <mergeCell ref="B12:E12"/>
    <mergeCell ref="R5:R6"/>
    <mergeCell ref="C5:C6"/>
    <mergeCell ref="D5:D6"/>
    <mergeCell ref="E5:E6"/>
    <mergeCell ref="F5:F6"/>
    <mergeCell ref="G5:G6"/>
    <mergeCell ref="B11:E11"/>
    <mergeCell ref="T26:X26"/>
    <mergeCell ref="AC32:AE32"/>
    <mergeCell ref="B43:N45"/>
    <mergeCell ref="Q5:Q6"/>
    <mergeCell ref="T5:X5"/>
    <mergeCell ref="B9:E9"/>
    <mergeCell ref="B10:E10"/>
    <mergeCell ref="B13:E13"/>
    <mergeCell ref="B14:E14"/>
    <mergeCell ref="H5:H6"/>
    <mergeCell ref="L5:L6"/>
    <mergeCell ref="M5:M6"/>
    <mergeCell ref="N5:N6"/>
    <mergeCell ref="O5:O6"/>
    <mergeCell ref="P5:P6"/>
    <mergeCell ref="B5:B6"/>
    <mergeCell ref="B18:C18"/>
    <mergeCell ref="B47:N51"/>
    <mergeCell ref="I26:J26"/>
    <mergeCell ref="K26:L26"/>
    <mergeCell ref="M26:N26"/>
  </mergeCell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6" tint="-0.249977111117893"/>
  </sheetPr>
  <dimension ref="A1:P41"/>
  <sheetViews>
    <sheetView showGridLines="0" topLeftCell="A13" zoomScaleNormal="100" workbookViewId="0">
      <selection activeCell="C26" sqref="C26"/>
    </sheetView>
  </sheetViews>
  <sheetFormatPr baseColWidth="10" defaultRowHeight="12.75"/>
  <cols>
    <col min="1" max="1" width="3.42578125" style="86" customWidth="1"/>
    <col min="2" max="2" width="33.42578125" style="86" customWidth="1"/>
    <col min="3" max="3" width="18.28515625" style="86" customWidth="1"/>
    <col min="4" max="8" width="16.28515625" style="86" customWidth="1"/>
    <col min="9" max="9" width="12.28515625" style="86" bestFit="1" customWidth="1"/>
    <col min="10" max="10" width="25.28515625" style="86" bestFit="1" customWidth="1"/>
    <col min="11" max="11" width="19.28515625" style="86" customWidth="1"/>
    <col min="12" max="12" width="25.7109375" style="86" bestFit="1" customWidth="1"/>
    <col min="13" max="13" width="17.28515625" style="86" bestFit="1" customWidth="1"/>
    <col min="14" max="15" width="5.42578125" style="86" customWidth="1"/>
    <col min="16" max="16" width="14.28515625" style="86" bestFit="1" customWidth="1"/>
    <col min="17" max="16384" width="11.42578125" style="86"/>
  </cols>
  <sheetData>
    <row r="1" spans="1:11">
      <c r="B1" s="87"/>
      <c r="C1" s="87"/>
      <c r="D1" s="87"/>
      <c r="E1" s="87"/>
      <c r="F1" s="87"/>
      <c r="G1" s="87"/>
      <c r="H1" s="87"/>
    </row>
    <row r="2" spans="1:11" ht="18">
      <c r="A2" s="88"/>
      <c r="B2" s="89" t="s">
        <v>320</v>
      </c>
      <c r="C2" s="88"/>
      <c r="D2" s="88"/>
      <c r="E2" s="90"/>
      <c r="F2" s="88"/>
      <c r="G2" s="88"/>
      <c r="H2" s="88"/>
      <c r="I2" s="88"/>
    </row>
    <row r="3" spans="1:11" ht="13.5" customHeight="1">
      <c r="A3" s="88"/>
      <c r="B3" s="89"/>
      <c r="C3" s="88"/>
      <c r="D3" s="88"/>
      <c r="E3" s="88"/>
      <c r="F3" s="88"/>
      <c r="G3" s="88"/>
      <c r="H3" s="88"/>
      <c r="I3" s="88"/>
    </row>
    <row r="4" spans="1:11" ht="13.5" customHeight="1">
      <c r="A4" s="88"/>
      <c r="B4" s="91"/>
      <c r="C4" s="92" t="s">
        <v>0</v>
      </c>
      <c r="D4" s="93" t="s">
        <v>1939</v>
      </c>
      <c r="E4" s="92" t="s">
        <v>1</v>
      </c>
      <c r="F4" s="95" t="s">
        <v>1705</v>
      </c>
      <c r="G4" s="88"/>
      <c r="H4" s="88"/>
      <c r="I4" s="88"/>
    </row>
    <row r="5" spans="1:11" ht="13.5" customHeight="1">
      <c r="A5" s="88"/>
      <c r="B5" s="95" t="s">
        <v>2</v>
      </c>
      <c r="C5" s="96">
        <v>580981459</v>
      </c>
      <c r="D5" s="97">
        <f>D6*F5</f>
        <v>1.2367396613304007</v>
      </c>
      <c r="E5" s="98">
        <f>+C5*D5</f>
        <v>718522812.84290206</v>
      </c>
      <c r="F5" s="99">
        <f>Factor!G19+1</f>
        <v>1.519615751140154</v>
      </c>
      <c r="G5" s="88"/>
      <c r="H5" s="1033">
        <f>C5/C7</f>
        <v>0.88978352458033372</v>
      </c>
      <c r="I5" s="88"/>
    </row>
    <row r="6" spans="1:11" ht="13.5" customHeight="1">
      <c r="A6" s="88"/>
      <c r="B6" s="95" t="s">
        <v>4</v>
      </c>
      <c r="C6" s="96">
        <v>71965514</v>
      </c>
      <c r="D6" s="97">
        <f>2.75/3.379</f>
        <v>0.81385025155371415</v>
      </c>
      <c r="E6" s="98">
        <f>+C6*D6</f>
        <v>58569151.672092341</v>
      </c>
      <c r="G6" s="88"/>
      <c r="H6" s="1033">
        <f>C6/C7</f>
        <v>0.11021647541966628</v>
      </c>
      <c r="I6" s="88"/>
    </row>
    <row r="7" spans="1:11" ht="13.5" customHeight="1">
      <c r="A7" s="88"/>
      <c r="B7" s="100" t="s">
        <v>6</v>
      </c>
      <c r="C7" s="101">
        <f>SUM(C5:C6)</f>
        <v>652946973</v>
      </c>
      <c r="D7" s="102">
        <f>E7/C7</f>
        <v>1.1901302810925114</v>
      </c>
      <c r="E7" s="103">
        <f>SUM(E5:E6)</f>
        <v>777091964.51499438</v>
      </c>
      <c r="G7" s="88"/>
      <c r="H7" s="88"/>
      <c r="I7" s="88"/>
    </row>
    <row r="8" spans="1:11" ht="13.5" customHeight="1">
      <c r="A8" s="88"/>
      <c r="B8" s="1139"/>
      <c r="C8" s="88"/>
      <c r="D8" s="1369"/>
      <c r="E8" s="88"/>
      <c r="F8" s="88"/>
      <c r="G8" s="88"/>
      <c r="H8" s="88"/>
      <c r="I8" s="88"/>
    </row>
    <row r="9" spans="1:11">
      <c r="A9" s="88"/>
      <c r="B9" s="104" t="s">
        <v>1370</v>
      </c>
      <c r="C9" s="105"/>
      <c r="D9" s="88"/>
      <c r="E9" s="88"/>
      <c r="F9" s="88"/>
      <c r="G9" s="88"/>
      <c r="I9" s="106"/>
    </row>
    <row r="10" spans="1:11">
      <c r="A10" s="88"/>
      <c r="B10" s="88" t="s">
        <v>1394</v>
      </c>
      <c r="C10" s="107">
        <f>Kd!F13</f>
        <v>617988118.78026402</v>
      </c>
      <c r="D10" s="108" t="s">
        <v>1684</v>
      </c>
      <c r="E10" s="88"/>
      <c r="F10" s="88"/>
      <c r="G10" s="88"/>
    </row>
    <row r="11" spans="1:11">
      <c r="A11" s="109"/>
      <c r="B11" s="110" t="s">
        <v>1395</v>
      </c>
      <c r="C11" s="111">
        <f>+E7</f>
        <v>777091964.51499438</v>
      </c>
      <c r="D11" s="88" t="s">
        <v>1685</v>
      </c>
      <c r="E11" s="88"/>
      <c r="F11" s="88"/>
      <c r="G11" s="88"/>
    </row>
    <row r="12" spans="1:11">
      <c r="A12" s="88"/>
      <c r="B12" s="88" t="s">
        <v>3</v>
      </c>
      <c r="C12" s="112">
        <f>+C10/C11</f>
        <v>0.79525737879167024</v>
      </c>
      <c r="D12" s="1361" t="s">
        <v>1801</v>
      </c>
      <c r="E12" s="88"/>
      <c r="F12" s="88"/>
      <c r="G12" s="88"/>
    </row>
    <row r="13" spans="1:11">
      <c r="A13" s="113"/>
      <c r="B13" s="110" t="s">
        <v>321</v>
      </c>
      <c r="C13" s="1367">
        <v>0.28000000000000003</v>
      </c>
      <c r="D13" s="108" t="s">
        <v>1945</v>
      </c>
      <c r="E13" s="88"/>
      <c r="F13" s="88"/>
      <c r="G13" s="88"/>
    </row>
    <row r="14" spans="1:11">
      <c r="A14" s="88"/>
      <c r="B14" s="88" t="s">
        <v>304</v>
      </c>
      <c r="C14" s="114">
        <f>+Betas!H18</f>
        <v>1.1156335502234511</v>
      </c>
      <c r="D14" s="88" t="s">
        <v>1686</v>
      </c>
      <c r="E14" s="88"/>
      <c r="F14" s="88"/>
      <c r="G14" s="88"/>
    </row>
    <row r="15" spans="1:11">
      <c r="A15" s="88"/>
      <c r="B15" s="88" t="s">
        <v>7</v>
      </c>
      <c r="C15" s="115">
        <f>+C14*(1+(1-C13)*C12)</f>
        <v>1.7544289354702287</v>
      </c>
      <c r="D15" s="88" t="s">
        <v>1687</v>
      </c>
      <c r="E15" s="88"/>
      <c r="F15" s="88"/>
      <c r="G15" s="88"/>
      <c r="H15" s="88"/>
      <c r="I15" s="88"/>
    </row>
    <row r="16" spans="1:11">
      <c r="A16" s="88"/>
      <c r="B16" s="88"/>
      <c r="C16" s="88"/>
      <c r="D16" s="88"/>
      <c r="E16" s="88"/>
      <c r="F16" s="88"/>
      <c r="G16" s="88"/>
      <c r="H16" s="88"/>
      <c r="I16" s="88"/>
      <c r="J16" s="88"/>
      <c r="K16" s="88"/>
    </row>
    <row r="17" spans="1:16">
      <c r="A17" s="88"/>
      <c r="B17" s="104" t="s">
        <v>793</v>
      </c>
      <c r="C17" s="105"/>
      <c r="D17" s="88"/>
      <c r="E17" s="88"/>
      <c r="F17" s="88"/>
      <c r="G17" s="88"/>
      <c r="H17" s="88"/>
      <c r="I17" s="88"/>
      <c r="J17" s="88"/>
      <c r="K17" s="88"/>
      <c r="L17" s="88"/>
      <c r="M17" s="88"/>
    </row>
    <row r="18" spans="1:16">
      <c r="A18" s="88"/>
      <c r="B18" s="108" t="s">
        <v>8</v>
      </c>
      <c r="C18" s="112">
        <f>+RiesgoPais!Q251/100</f>
        <v>2.9653478260869566E-2</v>
      </c>
      <c r="D18" s="108" t="s">
        <v>1688</v>
      </c>
      <c r="E18" s="88"/>
      <c r="F18" s="88"/>
      <c r="G18" s="88"/>
      <c r="H18" s="88"/>
      <c r="I18" s="88"/>
      <c r="J18" s="88"/>
      <c r="K18" s="88"/>
      <c r="L18" s="88"/>
      <c r="M18" s="88"/>
    </row>
    <row r="19" spans="1:16" ht="15" customHeight="1">
      <c r="A19" s="88"/>
      <c r="B19" s="108" t="s">
        <v>9</v>
      </c>
      <c r="C19" s="116">
        <f>+C15</f>
        <v>1.7544289354702287</v>
      </c>
      <c r="D19" s="88"/>
      <c r="E19" s="88"/>
      <c r="F19" s="88"/>
      <c r="G19" s="112"/>
      <c r="H19" s="88"/>
      <c r="I19" s="88"/>
      <c r="J19" s="88"/>
      <c r="K19" s="88"/>
      <c r="L19" s="88"/>
      <c r="M19" s="88"/>
      <c r="N19" s="88"/>
      <c r="O19" s="88"/>
    </row>
    <row r="20" spans="1:16">
      <c r="A20" s="88"/>
      <c r="B20" s="88" t="s">
        <v>10</v>
      </c>
      <c r="C20" s="117">
        <f>+PrimaRiesgo!H115</f>
        <v>4.543213214629449E-2</v>
      </c>
      <c r="D20" s="108" t="s">
        <v>1689</v>
      </c>
      <c r="E20" s="88"/>
      <c r="F20" s="88"/>
      <c r="G20" s="88"/>
      <c r="H20" s="88"/>
      <c r="I20" s="88"/>
      <c r="J20" s="88"/>
      <c r="K20" s="88"/>
      <c r="L20" s="88"/>
      <c r="M20" s="88"/>
      <c r="N20" s="88"/>
      <c r="O20" s="88"/>
    </row>
    <row r="21" spans="1:16">
      <c r="A21" s="88"/>
      <c r="B21" s="118" t="s">
        <v>1479</v>
      </c>
      <c r="C21" s="117">
        <f>RiesgoPais!C251/10000</f>
        <v>2.3640909090909091E-2</v>
      </c>
      <c r="D21" s="108" t="s">
        <v>1690</v>
      </c>
      <c r="E21" s="88"/>
      <c r="F21" s="88"/>
      <c r="G21" s="88"/>
      <c r="H21" s="88"/>
      <c r="I21" s="88"/>
      <c r="J21" s="88"/>
      <c r="K21" s="88"/>
      <c r="L21" s="88"/>
      <c r="M21" s="88"/>
      <c r="N21" s="88"/>
      <c r="O21" s="88"/>
      <c r="P21" s="88"/>
    </row>
    <row r="22" spans="1:16">
      <c r="A22" s="88"/>
      <c r="B22" s="108" t="s">
        <v>1480</v>
      </c>
      <c r="C22" s="116">
        <f>Lambda!K3</f>
        <v>1.534995433412454</v>
      </c>
      <c r="D22" s="119" t="s">
        <v>1514</v>
      </c>
      <c r="E22" s="116"/>
      <c r="F22" s="88"/>
      <c r="G22" s="88"/>
      <c r="H22" s="88"/>
      <c r="I22" s="88"/>
      <c r="J22" s="88"/>
      <c r="K22" s="88"/>
      <c r="L22" s="88"/>
      <c r="M22" s="88"/>
      <c r="N22" s="88"/>
      <c r="O22" s="88"/>
      <c r="P22" s="88"/>
    </row>
    <row r="23" spans="1:16">
      <c r="A23" s="88"/>
      <c r="B23" s="120" t="s">
        <v>1369</v>
      </c>
      <c r="C23" s="121">
        <f>+C18+C19*C20+C21*C22</f>
        <v>0.14564961299470019</v>
      </c>
      <c r="D23" s="122" t="s">
        <v>12</v>
      </c>
      <c r="E23" s="1524"/>
      <c r="F23" s="88"/>
      <c r="G23" s="88"/>
      <c r="H23" s="88"/>
      <c r="I23" s="88"/>
      <c r="J23" s="88"/>
      <c r="K23" s="88"/>
      <c r="L23" s="88"/>
      <c r="M23" s="88"/>
      <c r="N23" s="88"/>
      <c r="O23" s="88"/>
      <c r="P23" s="88"/>
    </row>
    <row r="24" spans="1:16">
      <c r="A24" s="88"/>
      <c r="B24" s="88"/>
      <c r="C24" s="88"/>
      <c r="D24" s="88"/>
      <c r="E24" s="88"/>
      <c r="F24" s="88"/>
      <c r="G24" s="88"/>
      <c r="H24" s="88"/>
      <c r="I24" s="88"/>
      <c r="J24" s="88"/>
      <c r="K24" s="88"/>
      <c r="L24" s="88"/>
      <c r="M24" s="88"/>
      <c r="N24" s="88"/>
      <c r="O24" s="88"/>
      <c r="P24" s="88"/>
    </row>
    <row r="25" spans="1:16">
      <c r="A25" s="88"/>
      <c r="B25" s="104" t="s">
        <v>794</v>
      </c>
      <c r="C25" s="105"/>
      <c r="D25" s="88"/>
      <c r="E25" s="88"/>
      <c r="F25" s="88"/>
      <c r="G25" s="88"/>
      <c r="H25" s="88"/>
      <c r="I25" s="88"/>
      <c r="J25" s="88"/>
      <c r="K25" s="88"/>
      <c r="L25" s="88"/>
      <c r="M25" s="88"/>
      <c r="N25" s="88"/>
      <c r="O25" s="88"/>
      <c r="P25" s="123"/>
    </row>
    <row r="26" spans="1:16">
      <c r="A26" s="88"/>
      <c r="B26" s="110" t="s">
        <v>13</v>
      </c>
      <c r="C26" s="119">
        <f>ROUNDUP(PabloFernandez!E10*100,0)/100</f>
        <v>1.2</v>
      </c>
      <c r="D26" s="108" t="s">
        <v>1755</v>
      </c>
      <c r="E26" s="88"/>
      <c r="F26" s="113"/>
      <c r="G26" s="88"/>
      <c r="H26" s="88"/>
      <c r="I26" s="88"/>
      <c r="J26" s="88"/>
      <c r="K26" s="88"/>
      <c r="L26" s="88"/>
      <c r="M26" s="88"/>
      <c r="N26" s="88"/>
      <c r="O26" s="88"/>
      <c r="P26" s="88"/>
    </row>
    <row r="27" spans="1:16">
      <c r="A27" s="125"/>
      <c r="B27" s="110" t="s">
        <v>5</v>
      </c>
      <c r="C27" s="117">
        <v>0.26</v>
      </c>
      <c r="D27" s="88" t="s">
        <v>677</v>
      </c>
      <c r="E27" s="88"/>
      <c r="F27" s="88"/>
      <c r="G27" s="88"/>
      <c r="H27" s="88"/>
      <c r="I27" s="1033"/>
      <c r="J27" s="88"/>
      <c r="K27" s="88"/>
      <c r="L27" s="88"/>
      <c r="M27" s="88"/>
      <c r="N27" s="88"/>
      <c r="O27" s="88"/>
      <c r="P27" s="88"/>
    </row>
    <row r="28" spans="1:16">
      <c r="A28" s="109"/>
      <c r="B28" s="110" t="s">
        <v>14</v>
      </c>
      <c r="C28" s="126">
        <f>+C14</f>
        <v>1.1156335502234511</v>
      </c>
      <c r="D28" s="88" t="s">
        <v>1686</v>
      </c>
      <c r="E28" s="88"/>
      <c r="F28" s="88"/>
      <c r="G28" s="88"/>
      <c r="H28" s="88"/>
      <c r="I28" s="88"/>
      <c r="J28" s="88"/>
      <c r="K28" s="88"/>
      <c r="L28" s="88"/>
      <c r="M28" s="88"/>
      <c r="N28" s="88"/>
      <c r="O28" s="88"/>
      <c r="P28" s="88"/>
    </row>
    <row r="29" spans="1:16">
      <c r="A29" s="109"/>
      <c r="B29" s="88" t="s">
        <v>7</v>
      </c>
      <c r="C29" s="115">
        <f>+C28*(1+(1-C27)*C26)</f>
        <v>2.1063161428218757</v>
      </c>
      <c r="D29" s="88" t="s">
        <v>1687</v>
      </c>
      <c r="E29" s="88"/>
      <c r="F29" s="88"/>
      <c r="G29" s="88"/>
      <c r="H29" s="88"/>
      <c r="I29" s="88"/>
      <c r="J29" s="88"/>
      <c r="K29" s="88"/>
      <c r="L29" s="88"/>
      <c r="M29" s="88"/>
      <c r="N29" s="88"/>
      <c r="O29" s="88"/>
      <c r="P29" s="88"/>
    </row>
    <row r="30" spans="1:16">
      <c r="A30" s="126"/>
      <c r="B30" s="126"/>
      <c r="C30" s="126"/>
      <c r="D30" s="88"/>
      <c r="E30" s="88"/>
      <c r="F30" s="88"/>
      <c r="G30" s="88"/>
      <c r="H30" s="88"/>
      <c r="I30" s="88"/>
      <c r="J30" s="88"/>
      <c r="K30" s="88"/>
      <c r="L30" s="88"/>
      <c r="M30" s="88"/>
      <c r="N30" s="88"/>
      <c r="O30" s="88"/>
    </row>
    <row r="31" spans="1:16">
      <c r="A31" s="126"/>
      <c r="B31" s="108" t="s">
        <v>15</v>
      </c>
      <c r="C31" s="117">
        <f>+C18</f>
        <v>2.9653478260869566E-2</v>
      </c>
      <c r="D31" s="108" t="s">
        <v>1688</v>
      </c>
      <c r="E31" s="88"/>
      <c r="F31" s="88"/>
      <c r="G31" s="88"/>
      <c r="H31" s="88"/>
      <c r="I31" s="88"/>
      <c r="J31" s="88"/>
      <c r="K31" s="88"/>
      <c r="L31" s="88"/>
      <c r="M31" s="88"/>
      <c r="N31" s="88"/>
      <c r="O31" s="88"/>
    </row>
    <row r="32" spans="1:16">
      <c r="A32" s="126"/>
      <c r="B32" s="108" t="s">
        <v>16</v>
      </c>
      <c r="C32" s="126">
        <f>+C29</f>
        <v>2.1063161428218757</v>
      </c>
      <c r="D32" s="88" t="s">
        <v>1687</v>
      </c>
      <c r="E32" s="88"/>
      <c r="F32" s="88"/>
      <c r="G32" s="88"/>
      <c r="H32" s="88"/>
      <c r="I32" s="88"/>
      <c r="J32" s="88"/>
      <c r="K32" s="88"/>
      <c r="L32" s="88"/>
      <c r="M32" s="88"/>
      <c r="N32" s="88"/>
      <c r="O32" s="88"/>
    </row>
    <row r="33" spans="1:15">
      <c r="A33" s="88"/>
      <c r="B33" s="88" t="s">
        <v>10</v>
      </c>
      <c r="C33" s="117">
        <f>+C20</f>
        <v>4.543213214629449E-2</v>
      </c>
      <c r="D33" s="108" t="s">
        <v>1689</v>
      </c>
      <c r="E33" s="88"/>
      <c r="F33" s="88"/>
      <c r="G33" s="88"/>
      <c r="H33" s="88"/>
      <c r="I33" s="88"/>
      <c r="J33" s="88"/>
      <c r="K33" s="88"/>
      <c r="L33" s="88"/>
      <c r="M33" s="88"/>
      <c r="N33" s="88"/>
      <c r="O33" s="88"/>
    </row>
    <row r="34" spans="1:15">
      <c r="A34" s="88"/>
      <c r="B34" s="108" t="s">
        <v>11</v>
      </c>
      <c r="C34" s="117">
        <f>+C21</f>
        <v>2.3640909090909091E-2</v>
      </c>
      <c r="D34" s="108" t="s">
        <v>1690</v>
      </c>
      <c r="E34" s="88"/>
      <c r="F34" s="88"/>
      <c r="G34" s="88"/>
      <c r="H34" s="88"/>
      <c r="I34" s="88"/>
      <c r="J34" s="88"/>
      <c r="K34" s="88"/>
      <c r="L34" s="88"/>
      <c r="M34" s="88"/>
      <c r="N34" s="88"/>
      <c r="O34" s="88"/>
    </row>
    <row r="35" spans="1:15">
      <c r="A35" s="88"/>
      <c r="B35" s="127" t="s">
        <v>1480</v>
      </c>
      <c r="C35" s="128">
        <f>Lambda!K3</f>
        <v>1.534995433412454</v>
      </c>
      <c r="D35" s="119" t="s">
        <v>1514</v>
      </c>
      <c r="E35" s="88"/>
      <c r="F35" s="88"/>
      <c r="G35" s="88"/>
      <c r="H35" s="88"/>
      <c r="I35" s="88"/>
      <c r="J35" s="88"/>
      <c r="K35" s="88"/>
      <c r="L35" s="88"/>
      <c r="M35" s="88"/>
      <c r="N35" s="88"/>
      <c r="O35" s="88"/>
    </row>
    <row r="36" spans="1:15">
      <c r="A36" s="88"/>
      <c r="B36" s="120" t="s">
        <v>17</v>
      </c>
      <c r="C36" s="121">
        <f>+C31+C32*C33+C34*C35</f>
        <v>0.16163659909969075</v>
      </c>
      <c r="D36" s="122" t="s">
        <v>12</v>
      </c>
      <c r="E36" s="88"/>
      <c r="F36" s="88"/>
      <c r="G36" s="88"/>
      <c r="H36" s="88"/>
      <c r="I36" s="88"/>
      <c r="J36" s="88"/>
      <c r="K36" s="88"/>
      <c r="L36" s="88"/>
      <c r="M36" s="88"/>
      <c r="N36" s="88"/>
      <c r="O36" s="88"/>
    </row>
    <row r="37" spans="1:15">
      <c r="A37" s="88"/>
      <c r="B37" s="110"/>
      <c r="C37" s="110"/>
      <c r="D37" s="110"/>
      <c r="E37" s="110"/>
      <c r="F37" s="110"/>
      <c r="G37" s="110"/>
      <c r="H37" s="110"/>
      <c r="I37" s="110"/>
      <c r="J37" s="88"/>
      <c r="K37" s="88"/>
      <c r="L37" s="88"/>
      <c r="M37" s="88"/>
      <c r="N37" s="88"/>
      <c r="O37" s="88"/>
    </row>
    <row r="38" spans="1:15">
      <c r="A38" s="88"/>
      <c r="B38" s="110"/>
      <c r="C38" s="110"/>
      <c r="D38" s="110"/>
      <c r="E38" s="110"/>
      <c r="F38" s="110"/>
      <c r="G38" s="110"/>
      <c r="H38" s="110"/>
      <c r="I38" s="110"/>
      <c r="J38" s="88"/>
      <c r="K38" s="88"/>
      <c r="L38" s="88"/>
      <c r="M38" s="88"/>
      <c r="N38" s="88"/>
      <c r="O38" s="88"/>
    </row>
    <row r="39" spans="1:15">
      <c r="A39" s="88"/>
      <c r="B39" s="110"/>
      <c r="C39" s="110"/>
      <c r="D39" s="110"/>
      <c r="E39" s="110"/>
      <c r="F39" s="110"/>
      <c r="G39" s="110"/>
      <c r="H39" s="110"/>
      <c r="I39" s="110"/>
      <c r="J39" s="88"/>
      <c r="K39" s="88"/>
      <c r="L39" s="88"/>
      <c r="M39" s="88"/>
      <c r="N39" s="88"/>
      <c r="O39" s="88"/>
    </row>
    <row r="40" spans="1:15">
      <c r="J40" s="129"/>
      <c r="K40" s="129"/>
      <c r="L40" s="129"/>
      <c r="M40" s="129"/>
      <c r="N40" s="129"/>
      <c r="O40" s="129"/>
    </row>
    <row r="41" spans="1:15">
      <c r="K41" s="129"/>
      <c r="L41" s="129"/>
      <c r="M41" s="129"/>
      <c r="N41" s="129"/>
      <c r="O41" s="129"/>
    </row>
  </sheetData>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6" tint="-0.249977111117893"/>
  </sheetPr>
  <dimension ref="A2:M27"/>
  <sheetViews>
    <sheetView showGridLines="0" zoomScaleNormal="100" workbookViewId="0">
      <selection activeCell="F22" sqref="F22"/>
    </sheetView>
  </sheetViews>
  <sheetFormatPr baseColWidth="10" defaultRowHeight="12.75"/>
  <cols>
    <col min="1" max="1" width="6.42578125" style="62" customWidth="1"/>
    <col min="2" max="2" width="23.7109375" style="62" bestFit="1" customWidth="1"/>
    <col min="3" max="3" width="19" style="62" customWidth="1"/>
    <col min="4" max="4" width="11.42578125" style="62"/>
    <col min="5" max="5" width="31" style="62" bestFit="1" customWidth="1"/>
    <col min="6" max="6" width="13" style="62" bestFit="1" customWidth="1"/>
    <col min="7" max="7" width="20.42578125" style="62" customWidth="1"/>
    <col min="8" max="8" width="13.42578125" style="62" bestFit="1" customWidth="1"/>
    <col min="9" max="9" width="25.5703125" style="62" bestFit="1" customWidth="1"/>
    <col min="10" max="10" width="17.140625" style="62" bestFit="1" customWidth="1"/>
    <col min="11" max="11" width="11.42578125" style="62"/>
    <col min="12" max="13" width="14.28515625" style="62" bestFit="1" customWidth="1"/>
    <col min="14" max="254" width="11.42578125" style="62"/>
    <col min="255" max="255" width="23.7109375" style="62" bestFit="1" customWidth="1"/>
    <col min="256" max="256" width="12.85546875" style="62" customWidth="1"/>
    <col min="257" max="257" width="11.42578125" style="62"/>
    <col min="258" max="258" width="29.7109375" style="62" customWidth="1"/>
    <col min="259" max="259" width="13" style="62" bestFit="1" customWidth="1"/>
    <col min="260" max="260" width="19.7109375" style="62" customWidth="1"/>
    <col min="261" max="261" width="14.42578125" style="62" bestFit="1" customWidth="1"/>
    <col min="262" max="262" width="13.42578125" style="62" bestFit="1" customWidth="1"/>
    <col min="263" max="510" width="11.42578125" style="62"/>
    <col min="511" max="511" width="23.7109375" style="62" bestFit="1" customWidth="1"/>
    <col min="512" max="512" width="12.85546875" style="62" customWidth="1"/>
    <col min="513" max="513" width="11.42578125" style="62"/>
    <col min="514" max="514" width="29.7109375" style="62" customWidth="1"/>
    <col min="515" max="515" width="13" style="62" bestFit="1" customWidth="1"/>
    <col min="516" max="516" width="19.7109375" style="62" customWidth="1"/>
    <col min="517" max="517" width="14.42578125" style="62" bestFit="1" customWidth="1"/>
    <col min="518" max="518" width="13.42578125" style="62" bestFit="1" customWidth="1"/>
    <col min="519" max="766" width="11.42578125" style="62"/>
    <col min="767" max="767" width="23.7109375" style="62" bestFit="1" customWidth="1"/>
    <col min="768" max="768" width="12.85546875" style="62" customWidth="1"/>
    <col min="769" max="769" width="11.42578125" style="62"/>
    <col min="770" max="770" width="29.7109375" style="62" customWidth="1"/>
    <col min="771" max="771" width="13" style="62" bestFit="1" customWidth="1"/>
    <col min="772" max="772" width="19.7109375" style="62" customWidth="1"/>
    <col min="773" max="773" width="14.42578125" style="62" bestFit="1" customWidth="1"/>
    <col min="774" max="774" width="13.42578125" style="62" bestFit="1" customWidth="1"/>
    <col min="775" max="1022" width="11.42578125" style="62"/>
    <col min="1023" max="1023" width="23.7109375" style="62" bestFit="1" customWidth="1"/>
    <col min="1024" max="1024" width="12.85546875" style="62" customWidth="1"/>
    <col min="1025" max="1025" width="11.42578125" style="62"/>
    <col min="1026" max="1026" width="29.7109375" style="62" customWidth="1"/>
    <col min="1027" max="1027" width="13" style="62" bestFit="1" customWidth="1"/>
    <col min="1028" max="1028" width="19.7109375" style="62" customWidth="1"/>
    <col min="1029" max="1029" width="14.42578125" style="62" bestFit="1" customWidth="1"/>
    <col min="1030" max="1030" width="13.42578125" style="62" bestFit="1" customWidth="1"/>
    <col min="1031" max="1278" width="11.42578125" style="62"/>
    <col min="1279" max="1279" width="23.7109375" style="62" bestFit="1" customWidth="1"/>
    <col min="1280" max="1280" width="12.85546875" style="62" customWidth="1"/>
    <col min="1281" max="1281" width="11.42578125" style="62"/>
    <col min="1282" max="1282" width="29.7109375" style="62" customWidth="1"/>
    <col min="1283" max="1283" width="13" style="62" bestFit="1" customWidth="1"/>
    <col min="1284" max="1284" width="19.7109375" style="62" customWidth="1"/>
    <col min="1285" max="1285" width="14.42578125" style="62" bestFit="1" customWidth="1"/>
    <col min="1286" max="1286" width="13.42578125" style="62" bestFit="1" customWidth="1"/>
    <col min="1287" max="1534" width="11.42578125" style="62"/>
    <col min="1535" max="1535" width="23.7109375" style="62" bestFit="1" customWidth="1"/>
    <col min="1536" max="1536" width="12.85546875" style="62" customWidth="1"/>
    <col min="1537" max="1537" width="11.42578125" style="62"/>
    <col min="1538" max="1538" width="29.7109375" style="62" customWidth="1"/>
    <col min="1539" max="1539" width="13" style="62" bestFit="1" customWidth="1"/>
    <col min="1540" max="1540" width="19.7109375" style="62" customWidth="1"/>
    <col min="1541" max="1541" width="14.42578125" style="62" bestFit="1" customWidth="1"/>
    <col min="1542" max="1542" width="13.42578125" style="62" bestFit="1" customWidth="1"/>
    <col min="1543" max="1790" width="11.42578125" style="62"/>
    <col min="1791" max="1791" width="23.7109375" style="62" bestFit="1" customWidth="1"/>
    <col min="1792" max="1792" width="12.85546875" style="62" customWidth="1"/>
    <col min="1793" max="1793" width="11.42578125" style="62"/>
    <col min="1794" max="1794" width="29.7109375" style="62" customWidth="1"/>
    <col min="1795" max="1795" width="13" style="62" bestFit="1" customWidth="1"/>
    <col min="1796" max="1796" width="19.7109375" style="62" customWidth="1"/>
    <col min="1797" max="1797" width="14.42578125" style="62" bestFit="1" customWidth="1"/>
    <col min="1798" max="1798" width="13.42578125" style="62" bestFit="1" customWidth="1"/>
    <col min="1799" max="2046" width="11.42578125" style="62"/>
    <col min="2047" max="2047" width="23.7109375" style="62" bestFit="1" customWidth="1"/>
    <col min="2048" max="2048" width="12.85546875" style="62" customWidth="1"/>
    <col min="2049" max="2049" width="11.42578125" style="62"/>
    <col min="2050" max="2050" width="29.7109375" style="62" customWidth="1"/>
    <col min="2051" max="2051" width="13" style="62" bestFit="1" customWidth="1"/>
    <col min="2052" max="2052" width="19.7109375" style="62" customWidth="1"/>
    <col min="2053" max="2053" width="14.42578125" style="62" bestFit="1" customWidth="1"/>
    <col min="2054" max="2054" width="13.42578125" style="62" bestFit="1" customWidth="1"/>
    <col min="2055" max="2302" width="11.42578125" style="62"/>
    <col min="2303" max="2303" width="23.7109375" style="62" bestFit="1" customWidth="1"/>
    <col min="2304" max="2304" width="12.85546875" style="62" customWidth="1"/>
    <col min="2305" max="2305" width="11.42578125" style="62"/>
    <col min="2306" max="2306" width="29.7109375" style="62" customWidth="1"/>
    <col min="2307" max="2307" width="13" style="62" bestFit="1" customWidth="1"/>
    <col min="2308" max="2308" width="19.7109375" style="62" customWidth="1"/>
    <col min="2309" max="2309" width="14.42578125" style="62" bestFit="1" customWidth="1"/>
    <col min="2310" max="2310" width="13.42578125" style="62" bestFit="1" customWidth="1"/>
    <col min="2311" max="2558" width="11.42578125" style="62"/>
    <col min="2559" max="2559" width="23.7109375" style="62" bestFit="1" customWidth="1"/>
    <col min="2560" max="2560" width="12.85546875" style="62" customWidth="1"/>
    <col min="2561" max="2561" width="11.42578125" style="62"/>
    <col min="2562" max="2562" width="29.7109375" style="62" customWidth="1"/>
    <col min="2563" max="2563" width="13" style="62" bestFit="1" customWidth="1"/>
    <col min="2564" max="2564" width="19.7109375" style="62" customWidth="1"/>
    <col min="2565" max="2565" width="14.42578125" style="62" bestFit="1" customWidth="1"/>
    <col min="2566" max="2566" width="13.42578125" style="62" bestFit="1" customWidth="1"/>
    <col min="2567" max="2814" width="11.42578125" style="62"/>
    <col min="2815" max="2815" width="23.7109375" style="62" bestFit="1" customWidth="1"/>
    <col min="2816" max="2816" width="12.85546875" style="62" customWidth="1"/>
    <col min="2817" max="2817" width="11.42578125" style="62"/>
    <col min="2818" max="2818" width="29.7109375" style="62" customWidth="1"/>
    <col min="2819" max="2819" width="13" style="62" bestFit="1" customWidth="1"/>
    <col min="2820" max="2820" width="19.7109375" style="62" customWidth="1"/>
    <col min="2821" max="2821" width="14.42578125" style="62" bestFit="1" customWidth="1"/>
    <col min="2822" max="2822" width="13.42578125" style="62" bestFit="1" customWidth="1"/>
    <col min="2823" max="3070" width="11.42578125" style="62"/>
    <col min="3071" max="3071" width="23.7109375" style="62" bestFit="1" customWidth="1"/>
    <col min="3072" max="3072" width="12.85546875" style="62" customWidth="1"/>
    <col min="3073" max="3073" width="11.42578125" style="62"/>
    <col min="3074" max="3074" width="29.7109375" style="62" customWidth="1"/>
    <col min="3075" max="3075" width="13" style="62" bestFit="1" customWidth="1"/>
    <col min="3076" max="3076" width="19.7109375" style="62" customWidth="1"/>
    <col min="3077" max="3077" width="14.42578125" style="62" bestFit="1" customWidth="1"/>
    <col min="3078" max="3078" width="13.42578125" style="62" bestFit="1" customWidth="1"/>
    <col min="3079" max="3326" width="11.42578125" style="62"/>
    <col min="3327" max="3327" width="23.7109375" style="62" bestFit="1" customWidth="1"/>
    <col min="3328" max="3328" width="12.85546875" style="62" customWidth="1"/>
    <col min="3329" max="3329" width="11.42578125" style="62"/>
    <col min="3330" max="3330" width="29.7109375" style="62" customWidth="1"/>
    <col min="3331" max="3331" width="13" style="62" bestFit="1" customWidth="1"/>
    <col min="3332" max="3332" width="19.7109375" style="62" customWidth="1"/>
    <col min="3333" max="3333" width="14.42578125" style="62" bestFit="1" customWidth="1"/>
    <col min="3334" max="3334" width="13.42578125" style="62" bestFit="1" customWidth="1"/>
    <col min="3335" max="3582" width="11.42578125" style="62"/>
    <col min="3583" max="3583" width="23.7109375" style="62" bestFit="1" customWidth="1"/>
    <col min="3584" max="3584" width="12.85546875" style="62" customWidth="1"/>
    <col min="3585" max="3585" width="11.42578125" style="62"/>
    <col min="3586" max="3586" width="29.7109375" style="62" customWidth="1"/>
    <col min="3587" max="3587" width="13" style="62" bestFit="1" customWidth="1"/>
    <col min="3588" max="3588" width="19.7109375" style="62" customWidth="1"/>
    <col min="3589" max="3589" width="14.42578125" style="62" bestFit="1" customWidth="1"/>
    <col min="3590" max="3590" width="13.42578125" style="62" bestFit="1" customWidth="1"/>
    <col min="3591" max="3838" width="11.42578125" style="62"/>
    <col min="3839" max="3839" width="23.7109375" style="62" bestFit="1" customWidth="1"/>
    <col min="3840" max="3840" width="12.85546875" style="62" customWidth="1"/>
    <col min="3841" max="3841" width="11.42578125" style="62"/>
    <col min="3842" max="3842" width="29.7109375" style="62" customWidth="1"/>
    <col min="3843" max="3843" width="13" style="62" bestFit="1" customWidth="1"/>
    <col min="3844" max="3844" width="19.7109375" style="62" customWidth="1"/>
    <col min="3845" max="3845" width="14.42578125" style="62" bestFit="1" customWidth="1"/>
    <col min="3846" max="3846" width="13.42578125" style="62" bestFit="1" customWidth="1"/>
    <col min="3847" max="4094" width="11.42578125" style="62"/>
    <col min="4095" max="4095" width="23.7109375" style="62" bestFit="1" customWidth="1"/>
    <col min="4096" max="4096" width="12.85546875" style="62" customWidth="1"/>
    <col min="4097" max="4097" width="11.42578125" style="62"/>
    <col min="4098" max="4098" width="29.7109375" style="62" customWidth="1"/>
    <col min="4099" max="4099" width="13" style="62" bestFit="1" customWidth="1"/>
    <col min="4100" max="4100" width="19.7109375" style="62" customWidth="1"/>
    <col min="4101" max="4101" width="14.42578125" style="62" bestFit="1" customWidth="1"/>
    <col min="4102" max="4102" width="13.42578125" style="62" bestFit="1" customWidth="1"/>
    <col min="4103" max="4350" width="11.42578125" style="62"/>
    <col min="4351" max="4351" width="23.7109375" style="62" bestFit="1" customWidth="1"/>
    <col min="4352" max="4352" width="12.85546875" style="62" customWidth="1"/>
    <col min="4353" max="4353" width="11.42578125" style="62"/>
    <col min="4354" max="4354" width="29.7109375" style="62" customWidth="1"/>
    <col min="4355" max="4355" width="13" style="62" bestFit="1" customWidth="1"/>
    <col min="4356" max="4356" width="19.7109375" style="62" customWidth="1"/>
    <col min="4357" max="4357" width="14.42578125" style="62" bestFit="1" customWidth="1"/>
    <col min="4358" max="4358" width="13.42578125" style="62" bestFit="1" customWidth="1"/>
    <col min="4359" max="4606" width="11.42578125" style="62"/>
    <col min="4607" max="4607" width="23.7109375" style="62" bestFit="1" customWidth="1"/>
    <col min="4608" max="4608" width="12.85546875" style="62" customWidth="1"/>
    <col min="4609" max="4609" width="11.42578125" style="62"/>
    <col min="4610" max="4610" width="29.7109375" style="62" customWidth="1"/>
    <col min="4611" max="4611" width="13" style="62" bestFit="1" customWidth="1"/>
    <col min="4612" max="4612" width="19.7109375" style="62" customWidth="1"/>
    <col min="4613" max="4613" width="14.42578125" style="62" bestFit="1" customWidth="1"/>
    <col min="4614" max="4614" width="13.42578125" style="62" bestFit="1" customWidth="1"/>
    <col min="4615" max="4862" width="11.42578125" style="62"/>
    <col min="4863" max="4863" width="23.7109375" style="62" bestFit="1" customWidth="1"/>
    <col min="4864" max="4864" width="12.85546875" style="62" customWidth="1"/>
    <col min="4865" max="4865" width="11.42578125" style="62"/>
    <col min="4866" max="4866" width="29.7109375" style="62" customWidth="1"/>
    <col min="4867" max="4867" width="13" style="62" bestFit="1" customWidth="1"/>
    <col min="4868" max="4868" width="19.7109375" style="62" customWidth="1"/>
    <col min="4869" max="4869" width="14.42578125" style="62" bestFit="1" customWidth="1"/>
    <col min="4870" max="4870" width="13.42578125" style="62" bestFit="1" customWidth="1"/>
    <col min="4871" max="5118" width="11.42578125" style="62"/>
    <col min="5119" max="5119" width="23.7109375" style="62" bestFit="1" customWidth="1"/>
    <col min="5120" max="5120" width="12.85546875" style="62" customWidth="1"/>
    <col min="5121" max="5121" width="11.42578125" style="62"/>
    <col min="5122" max="5122" width="29.7109375" style="62" customWidth="1"/>
    <col min="5123" max="5123" width="13" style="62" bestFit="1" customWidth="1"/>
    <col min="5124" max="5124" width="19.7109375" style="62" customWidth="1"/>
    <col min="5125" max="5125" width="14.42578125" style="62" bestFit="1" customWidth="1"/>
    <col min="5126" max="5126" width="13.42578125" style="62" bestFit="1" customWidth="1"/>
    <col min="5127" max="5374" width="11.42578125" style="62"/>
    <col min="5375" max="5375" width="23.7109375" style="62" bestFit="1" customWidth="1"/>
    <col min="5376" max="5376" width="12.85546875" style="62" customWidth="1"/>
    <col min="5377" max="5377" width="11.42578125" style="62"/>
    <col min="5378" max="5378" width="29.7109375" style="62" customWidth="1"/>
    <col min="5379" max="5379" width="13" style="62" bestFit="1" customWidth="1"/>
    <col min="5380" max="5380" width="19.7109375" style="62" customWidth="1"/>
    <col min="5381" max="5381" width="14.42578125" style="62" bestFit="1" customWidth="1"/>
    <col min="5382" max="5382" width="13.42578125" style="62" bestFit="1" customWidth="1"/>
    <col min="5383" max="5630" width="11.42578125" style="62"/>
    <col min="5631" max="5631" width="23.7109375" style="62" bestFit="1" customWidth="1"/>
    <col min="5632" max="5632" width="12.85546875" style="62" customWidth="1"/>
    <col min="5633" max="5633" width="11.42578125" style="62"/>
    <col min="5634" max="5634" width="29.7109375" style="62" customWidth="1"/>
    <col min="5635" max="5635" width="13" style="62" bestFit="1" customWidth="1"/>
    <col min="5636" max="5636" width="19.7109375" style="62" customWidth="1"/>
    <col min="5637" max="5637" width="14.42578125" style="62" bestFit="1" customWidth="1"/>
    <col min="5638" max="5638" width="13.42578125" style="62" bestFit="1" customWidth="1"/>
    <col min="5639" max="5886" width="11.42578125" style="62"/>
    <col min="5887" max="5887" width="23.7109375" style="62" bestFit="1" customWidth="1"/>
    <col min="5888" max="5888" width="12.85546875" style="62" customWidth="1"/>
    <col min="5889" max="5889" width="11.42578125" style="62"/>
    <col min="5890" max="5890" width="29.7109375" style="62" customWidth="1"/>
    <col min="5891" max="5891" width="13" style="62" bestFit="1" customWidth="1"/>
    <col min="5892" max="5892" width="19.7109375" style="62" customWidth="1"/>
    <col min="5893" max="5893" width="14.42578125" style="62" bestFit="1" customWidth="1"/>
    <col min="5894" max="5894" width="13.42578125" style="62" bestFit="1" customWidth="1"/>
    <col min="5895" max="6142" width="11.42578125" style="62"/>
    <col min="6143" max="6143" width="23.7109375" style="62" bestFit="1" customWidth="1"/>
    <col min="6144" max="6144" width="12.85546875" style="62" customWidth="1"/>
    <col min="6145" max="6145" width="11.42578125" style="62"/>
    <col min="6146" max="6146" width="29.7109375" style="62" customWidth="1"/>
    <col min="6147" max="6147" width="13" style="62" bestFit="1" customWidth="1"/>
    <col min="6148" max="6148" width="19.7109375" style="62" customWidth="1"/>
    <col min="6149" max="6149" width="14.42578125" style="62" bestFit="1" customWidth="1"/>
    <col min="6150" max="6150" width="13.42578125" style="62" bestFit="1" customWidth="1"/>
    <col min="6151" max="6398" width="11.42578125" style="62"/>
    <col min="6399" max="6399" width="23.7109375" style="62" bestFit="1" customWidth="1"/>
    <col min="6400" max="6400" width="12.85546875" style="62" customWidth="1"/>
    <col min="6401" max="6401" width="11.42578125" style="62"/>
    <col min="6402" max="6402" width="29.7109375" style="62" customWidth="1"/>
    <col min="6403" max="6403" width="13" style="62" bestFit="1" customWidth="1"/>
    <col min="6404" max="6404" width="19.7109375" style="62" customWidth="1"/>
    <col min="6405" max="6405" width="14.42578125" style="62" bestFit="1" customWidth="1"/>
    <col min="6406" max="6406" width="13.42578125" style="62" bestFit="1" customWidth="1"/>
    <col min="6407" max="6654" width="11.42578125" style="62"/>
    <col min="6655" max="6655" width="23.7109375" style="62" bestFit="1" customWidth="1"/>
    <col min="6656" max="6656" width="12.85546875" style="62" customWidth="1"/>
    <col min="6657" max="6657" width="11.42578125" style="62"/>
    <col min="6658" max="6658" width="29.7109375" style="62" customWidth="1"/>
    <col min="6659" max="6659" width="13" style="62" bestFit="1" customWidth="1"/>
    <col min="6660" max="6660" width="19.7109375" style="62" customWidth="1"/>
    <col min="6661" max="6661" width="14.42578125" style="62" bestFit="1" customWidth="1"/>
    <col min="6662" max="6662" width="13.42578125" style="62" bestFit="1" customWidth="1"/>
    <col min="6663" max="6910" width="11.42578125" style="62"/>
    <col min="6911" max="6911" width="23.7109375" style="62" bestFit="1" customWidth="1"/>
    <col min="6912" max="6912" width="12.85546875" style="62" customWidth="1"/>
    <col min="6913" max="6913" width="11.42578125" style="62"/>
    <col min="6914" max="6914" width="29.7109375" style="62" customWidth="1"/>
    <col min="6915" max="6915" width="13" style="62" bestFit="1" customWidth="1"/>
    <col min="6916" max="6916" width="19.7109375" style="62" customWidth="1"/>
    <col min="6917" max="6917" width="14.42578125" style="62" bestFit="1" customWidth="1"/>
    <col min="6918" max="6918" width="13.42578125" style="62" bestFit="1" customWidth="1"/>
    <col min="6919" max="7166" width="11.42578125" style="62"/>
    <col min="7167" max="7167" width="23.7109375" style="62" bestFit="1" customWidth="1"/>
    <col min="7168" max="7168" width="12.85546875" style="62" customWidth="1"/>
    <col min="7169" max="7169" width="11.42578125" style="62"/>
    <col min="7170" max="7170" width="29.7109375" style="62" customWidth="1"/>
    <col min="7171" max="7171" width="13" style="62" bestFit="1" customWidth="1"/>
    <col min="7172" max="7172" width="19.7109375" style="62" customWidth="1"/>
    <col min="7173" max="7173" width="14.42578125" style="62" bestFit="1" customWidth="1"/>
    <col min="7174" max="7174" width="13.42578125" style="62" bestFit="1" customWidth="1"/>
    <col min="7175" max="7422" width="11.42578125" style="62"/>
    <col min="7423" max="7423" width="23.7109375" style="62" bestFit="1" customWidth="1"/>
    <col min="7424" max="7424" width="12.85546875" style="62" customWidth="1"/>
    <col min="7425" max="7425" width="11.42578125" style="62"/>
    <col min="7426" max="7426" width="29.7109375" style="62" customWidth="1"/>
    <col min="7427" max="7427" width="13" style="62" bestFit="1" customWidth="1"/>
    <col min="7428" max="7428" width="19.7109375" style="62" customWidth="1"/>
    <col min="7429" max="7429" width="14.42578125" style="62" bestFit="1" customWidth="1"/>
    <col min="7430" max="7430" width="13.42578125" style="62" bestFit="1" customWidth="1"/>
    <col min="7431" max="7678" width="11.42578125" style="62"/>
    <col min="7679" max="7679" width="23.7109375" style="62" bestFit="1" customWidth="1"/>
    <col min="7680" max="7680" width="12.85546875" style="62" customWidth="1"/>
    <col min="7681" max="7681" width="11.42578125" style="62"/>
    <col min="7682" max="7682" width="29.7109375" style="62" customWidth="1"/>
    <col min="7683" max="7683" width="13" style="62" bestFit="1" customWidth="1"/>
    <col min="7684" max="7684" width="19.7109375" style="62" customWidth="1"/>
    <col min="7685" max="7685" width="14.42578125" style="62" bestFit="1" customWidth="1"/>
    <col min="7686" max="7686" width="13.42578125" style="62" bestFit="1" customWidth="1"/>
    <col min="7687" max="7934" width="11.42578125" style="62"/>
    <col min="7935" max="7935" width="23.7109375" style="62" bestFit="1" customWidth="1"/>
    <col min="7936" max="7936" width="12.85546875" style="62" customWidth="1"/>
    <col min="7937" max="7937" width="11.42578125" style="62"/>
    <col min="7938" max="7938" width="29.7109375" style="62" customWidth="1"/>
    <col min="7939" max="7939" width="13" style="62" bestFit="1" customWidth="1"/>
    <col min="7940" max="7940" width="19.7109375" style="62" customWidth="1"/>
    <col min="7941" max="7941" width="14.42578125" style="62" bestFit="1" customWidth="1"/>
    <col min="7942" max="7942" width="13.42578125" style="62" bestFit="1" customWidth="1"/>
    <col min="7943" max="8190" width="11.42578125" style="62"/>
    <col min="8191" max="8191" width="23.7109375" style="62" bestFit="1" customWidth="1"/>
    <col min="8192" max="8192" width="12.85546875" style="62" customWidth="1"/>
    <col min="8193" max="8193" width="11.42578125" style="62"/>
    <col min="8194" max="8194" width="29.7109375" style="62" customWidth="1"/>
    <col min="8195" max="8195" width="13" style="62" bestFit="1" customWidth="1"/>
    <col min="8196" max="8196" width="19.7109375" style="62" customWidth="1"/>
    <col min="8197" max="8197" width="14.42578125" style="62" bestFit="1" customWidth="1"/>
    <col min="8198" max="8198" width="13.42578125" style="62" bestFit="1" customWidth="1"/>
    <col min="8199" max="8446" width="11.42578125" style="62"/>
    <col min="8447" max="8447" width="23.7109375" style="62" bestFit="1" customWidth="1"/>
    <col min="8448" max="8448" width="12.85546875" style="62" customWidth="1"/>
    <col min="8449" max="8449" width="11.42578125" style="62"/>
    <col min="8450" max="8450" width="29.7109375" style="62" customWidth="1"/>
    <col min="8451" max="8451" width="13" style="62" bestFit="1" customWidth="1"/>
    <col min="8452" max="8452" width="19.7109375" style="62" customWidth="1"/>
    <col min="8453" max="8453" width="14.42578125" style="62" bestFit="1" customWidth="1"/>
    <col min="8454" max="8454" width="13.42578125" style="62" bestFit="1" customWidth="1"/>
    <col min="8455" max="8702" width="11.42578125" style="62"/>
    <col min="8703" max="8703" width="23.7109375" style="62" bestFit="1" customWidth="1"/>
    <col min="8704" max="8704" width="12.85546875" style="62" customWidth="1"/>
    <col min="8705" max="8705" width="11.42578125" style="62"/>
    <col min="8706" max="8706" width="29.7109375" style="62" customWidth="1"/>
    <col min="8707" max="8707" width="13" style="62" bestFit="1" customWidth="1"/>
    <col min="8708" max="8708" width="19.7109375" style="62" customWidth="1"/>
    <col min="8709" max="8709" width="14.42578125" style="62" bestFit="1" customWidth="1"/>
    <col min="8710" max="8710" width="13.42578125" style="62" bestFit="1" customWidth="1"/>
    <col min="8711" max="8958" width="11.42578125" style="62"/>
    <col min="8959" max="8959" width="23.7109375" style="62" bestFit="1" customWidth="1"/>
    <col min="8960" max="8960" width="12.85546875" style="62" customWidth="1"/>
    <col min="8961" max="8961" width="11.42578125" style="62"/>
    <col min="8962" max="8962" width="29.7109375" style="62" customWidth="1"/>
    <col min="8963" max="8963" width="13" style="62" bestFit="1" customWidth="1"/>
    <col min="8964" max="8964" width="19.7109375" style="62" customWidth="1"/>
    <col min="8965" max="8965" width="14.42578125" style="62" bestFit="1" customWidth="1"/>
    <col min="8966" max="8966" width="13.42578125" style="62" bestFit="1" customWidth="1"/>
    <col min="8967" max="9214" width="11.42578125" style="62"/>
    <col min="9215" max="9215" width="23.7109375" style="62" bestFit="1" customWidth="1"/>
    <col min="9216" max="9216" width="12.85546875" style="62" customWidth="1"/>
    <col min="9217" max="9217" width="11.42578125" style="62"/>
    <col min="9218" max="9218" width="29.7109375" style="62" customWidth="1"/>
    <col min="9219" max="9219" width="13" style="62" bestFit="1" customWidth="1"/>
    <col min="9220" max="9220" width="19.7109375" style="62" customWidth="1"/>
    <col min="9221" max="9221" width="14.42578125" style="62" bestFit="1" customWidth="1"/>
    <col min="9222" max="9222" width="13.42578125" style="62" bestFit="1" customWidth="1"/>
    <col min="9223" max="9470" width="11.42578125" style="62"/>
    <col min="9471" max="9471" width="23.7109375" style="62" bestFit="1" customWidth="1"/>
    <col min="9472" max="9472" width="12.85546875" style="62" customWidth="1"/>
    <col min="9473" max="9473" width="11.42578125" style="62"/>
    <col min="9474" max="9474" width="29.7109375" style="62" customWidth="1"/>
    <col min="9475" max="9475" width="13" style="62" bestFit="1" customWidth="1"/>
    <col min="9476" max="9476" width="19.7109375" style="62" customWidth="1"/>
    <col min="9477" max="9477" width="14.42578125" style="62" bestFit="1" customWidth="1"/>
    <col min="9478" max="9478" width="13.42578125" style="62" bestFit="1" customWidth="1"/>
    <col min="9479" max="9726" width="11.42578125" style="62"/>
    <col min="9727" max="9727" width="23.7109375" style="62" bestFit="1" customWidth="1"/>
    <col min="9728" max="9728" width="12.85546875" style="62" customWidth="1"/>
    <col min="9729" max="9729" width="11.42578125" style="62"/>
    <col min="9730" max="9730" width="29.7109375" style="62" customWidth="1"/>
    <col min="9731" max="9731" width="13" style="62" bestFit="1" customWidth="1"/>
    <col min="9732" max="9732" width="19.7109375" style="62" customWidth="1"/>
    <col min="9733" max="9733" width="14.42578125" style="62" bestFit="1" customWidth="1"/>
    <col min="9734" max="9734" width="13.42578125" style="62" bestFit="1" customWidth="1"/>
    <col min="9735" max="9982" width="11.42578125" style="62"/>
    <col min="9983" max="9983" width="23.7109375" style="62" bestFit="1" customWidth="1"/>
    <col min="9984" max="9984" width="12.85546875" style="62" customWidth="1"/>
    <col min="9985" max="9985" width="11.42578125" style="62"/>
    <col min="9986" max="9986" width="29.7109375" style="62" customWidth="1"/>
    <col min="9987" max="9987" width="13" style="62" bestFit="1" customWidth="1"/>
    <col min="9988" max="9988" width="19.7109375" style="62" customWidth="1"/>
    <col min="9989" max="9989" width="14.42578125" style="62" bestFit="1" customWidth="1"/>
    <col min="9990" max="9990" width="13.42578125" style="62" bestFit="1" customWidth="1"/>
    <col min="9991" max="10238" width="11.42578125" style="62"/>
    <col min="10239" max="10239" width="23.7109375" style="62" bestFit="1" customWidth="1"/>
    <col min="10240" max="10240" width="12.85546875" style="62" customWidth="1"/>
    <col min="10241" max="10241" width="11.42578125" style="62"/>
    <col min="10242" max="10242" width="29.7109375" style="62" customWidth="1"/>
    <col min="10243" max="10243" width="13" style="62" bestFit="1" customWidth="1"/>
    <col min="10244" max="10244" width="19.7109375" style="62" customWidth="1"/>
    <col min="10245" max="10245" width="14.42578125" style="62" bestFit="1" customWidth="1"/>
    <col min="10246" max="10246" width="13.42578125" style="62" bestFit="1" customWidth="1"/>
    <col min="10247" max="10494" width="11.42578125" style="62"/>
    <col min="10495" max="10495" width="23.7109375" style="62" bestFit="1" customWidth="1"/>
    <col min="10496" max="10496" width="12.85546875" style="62" customWidth="1"/>
    <col min="10497" max="10497" width="11.42578125" style="62"/>
    <col min="10498" max="10498" width="29.7109375" style="62" customWidth="1"/>
    <col min="10499" max="10499" width="13" style="62" bestFit="1" customWidth="1"/>
    <col min="10500" max="10500" width="19.7109375" style="62" customWidth="1"/>
    <col min="10501" max="10501" width="14.42578125" style="62" bestFit="1" customWidth="1"/>
    <col min="10502" max="10502" width="13.42578125" style="62" bestFit="1" customWidth="1"/>
    <col min="10503" max="10750" width="11.42578125" style="62"/>
    <col min="10751" max="10751" width="23.7109375" style="62" bestFit="1" customWidth="1"/>
    <col min="10752" max="10752" width="12.85546875" style="62" customWidth="1"/>
    <col min="10753" max="10753" width="11.42578125" style="62"/>
    <col min="10754" max="10754" width="29.7109375" style="62" customWidth="1"/>
    <col min="10755" max="10755" width="13" style="62" bestFit="1" customWidth="1"/>
    <col min="10756" max="10756" width="19.7109375" style="62" customWidth="1"/>
    <col min="10757" max="10757" width="14.42578125" style="62" bestFit="1" customWidth="1"/>
    <col min="10758" max="10758" width="13.42578125" style="62" bestFit="1" customWidth="1"/>
    <col min="10759" max="11006" width="11.42578125" style="62"/>
    <col min="11007" max="11007" width="23.7109375" style="62" bestFit="1" customWidth="1"/>
    <col min="11008" max="11008" width="12.85546875" style="62" customWidth="1"/>
    <col min="11009" max="11009" width="11.42578125" style="62"/>
    <col min="11010" max="11010" width="29.7109375" style="62" customWidth="1"/>
    <col min="11011" max="11011" width="13" style="62" bestFit="1" customWidth="1"/>
    <col min="11012" max="11012" width="19.7109375" style="62" customWidth="1"/>
    <col min="11013" max="11013" width="14.42578125" style="62" bestFit="1" customWidth="1"/>
    <col min="11014" max="11014" width="13.42578125" style="62" bestFit="1" customWidth="1"/>
    <col min="11015" max="11262" width="11.42578125" style="62"/>
    <col min="11263" max="11263" width="23.7109375" style="62" bestFit="1" customWidth="1"/>
    <col min="11264" max="11264" width="12.85546875" style="62" customWidth="1"/>
    <col min="11265" max="11265" width="11.42578125" style="62"/>
    <col min="11266" max="11266" width="29.7109375" style="62" customWidth="1"/>
    <col min="11267" max="11267" width="13" style="62" bestFit="1" customWidth="1"/>
    <col min="11268" max="11268" width="19.7109375" style="62" customWidth="1"/>
    <col min="11269" max="11269" width="14.42578125" style="62" bestFit="1" customWidth="1"/>
    <col min="11270" max="11270" width="13.42578125" style="62" bestFit="1" customWidth="1"/>
    <col min="11271" max="11518" width="11.42578125" style="62"/>
    <col min="11519" max="11519" width="23.7109375" style="62" bestFit="1" customWidth="1"/>
    <col min="11520" max="11520" width="12.85546875" style="62" customWidth="1"/>
    <col min="11521" max="11521" width="11.42578125" style="62"/>
    <col min="11522" max="11522" width="29.7109375" style="62" customWidth="1"/>
    <col min="11523" max="11523" width="13" style="62" bestFit="1" customWidth="1"/>
    <col min="11524" max="11524" width="19.7109375" style="62" customWidth="1"/>
    <col min="11525" max="11525" width="14.42578125" style="62" bestFit="1" customWidth="1"/>
    <col min="11526" max="11526" width="13.42578125" style="62" bestFit="1" customWidth="1"/>
    <col min="11527" max="11774" width="11.42578125" style="62"/>
    <col min="11775" max="11775" width="23.7109375" style="62" bestFit="1" customWidth="1"/>
    <col min="11776" max="11776" width="12.85546875" style="62" customWidth="1"/>
    <col min="11777" max="11777" width="11.42578125" style="62"/>
    <col min="11778" max="11778" width="29.7109375" style="62" customWidth="1"/>
    <col min="11779" max="11779" width="13" style="62" bestFit="1" customWidth="1"/>
    <col min="11780" max="11780" width="19.7109375" style="62" customWidth="1"/>
    <col min="11781" max="11781" width="14.42578125" style="62" bestFit="1" customWidth="1"/>
    <col min="11782" max="11782" width="13.42578125" style="62" bestFit="1" customWidth="1"/>
    <col min="11783" max="12030" width="11.42578125" style="62"/>
    <col min="12031" max="12031" width="23.7109375" style="62" bestFit="1" customWidth="1"/>
    <col min="12032" max="12032" width="12.85546875" style="62" customWidth="1"/>
    <col min="12033" max="12033" width="11.42578125" style="62"/>
    <col min="12034" max="12034" width="29.7109375" style="62" customWidth="1"/>
    <col min="12035" max="12035" width="13" style="62" bestFit="1" customWidth="1"/>
    <col min="12036" max="12036" width="19.7109375" style="62" customWidth="1"/>
    <col min="12037" max="12037" width="14.42578125" style="62" bestFit="1" customWidth="1"/>
    <col min="12038" max="12038" width="13.42578125" style="62" bestFit="1" customWidth="1"/>
    <col min="12039" max="12286" width="11.42578125" style="62"/>
    <col min="12287" max="12287" width="23.7109375" style="62" bestFit="1" customWidth="1"/>
    <col min="12288" max="12288" width="12.85546875" style="62" customWidth="1"/>
    <col min="12289" max="12289" width="11.42578125" style="62"/>
    <col min="12290" max="12290" width="29.7109375" style="62" customWidth="1"/>
    <col min="12291" max="12291" width="13" style="62" bestFit="1" customWidth="1"/>
    <col min="12292" max="12292" width="19.7109375" style="62" customWidth="1"/>
    <col min="12293" max="12293" width="14.42578125" style="62" bestFit="1" customWidth="1"/>
    <col min="12294" max="12294" width="13.42578125" style="62" bestFit="1" customWidth="1"/>
    <col min="12295" max="12542" width="11.42578125" style="62"/>
    <col min="12543" max="12543" width="23.7109375" style="62" bestFit="1" customWidth="1"/>
    <col min="12544" max="12544" width="12.85546875" style="62" customWidth="1"/>
    <col min="12545" max="12545" width="11.42578125" style="62"/>
    <col min="12546" max="12546" width="29.7109375" style="62" customWidth="1"/>
    <col min="12547" max="12547" width="13" style="62" bestFit="1" customWidth="1"/>
    <col min="12548" max="12548" width="19.7109375" style="62" customWidth="1"/>
    <col min="12549" max="12549" width="14.42578125" style="62" bestFit="1" customWidth="1"/>
    <col min="12550" max="12550" width="13.42578125" style="62" bestFit="1" customWidth="1"/>
    <col min="12551" max="12798" width="11.42578125" style="62"/>
    <col min="12799" max="12799" width="23.7109375" style="62" bestFit="1" customWidth="1"/>
    <col min="12800" max="12800" width="12.85546875" style="62" customWidth="1"/>
    <col min="12801" max="12801" width="11.42578125" style="62"/>
    <col min="12802" max="12802" width="29.7109375" style="62" customWidth="1"/>
    <col min="12803" max="12803" width="13" style="62" bestFit="1" customWidth="1"/>
    <col min="12804" max="12804" width="19.7109375" style="62" customWidth="1"/>
    <col min="12805" max="12805" width="14.42578125" style="62" bestFit="1" customWidth="1"/>
    <col min="12806" max="12806" width="13.42578125" style="62" bestFit="1" customWidth="1"/>
    <col min="12807" max="13054" width="11.42578125" style="62"/>
    <col min="13055" max="13055" width="23.7109375" style="62" bestFit="1" customWidth="1"/>
    <col min="13056" max="13056" width="12.85546875" style="62" customWidth="1"/>
    <col min="13057" max="13057" width="11.42578125" style="62"/>
    <col min="13058" max="13058" width="29.7109375" style="62" customWidth="1"/>
    <col min="13059" max="13059" width="13" style="62" bestFit="1" customWidth="1"/>
    <col min="13060" max="13060" width="19.7109375" style="62" customWidth="1"/>
    <col min="13061" max="13061" width="14.42578125" style="62" bestFit="1" customWidth="1"/>
    <col min="13062" max="13062" width="13.42578125" style="62" bestFit="1" customWidth="1"/>
    <col min="13063" max="13310" width="11.42578125" style="62"/>
    <col min="13311" max="13311" width="23.7109375" style="62" bestFit="1" customWidth="1"/>
    <col min="13312" max="13312" width="12.85546875" style="62" customWidth="1"/>
    <col min="13313" max="13313" width="11.42578125" style="62"/>
    <col min="13314" max="13314" width="29.7109375" style="62" customWidth="1"/>
    <col min="13315" max="13315" width="13" style="62" bestFit="1" customWidth="1"/>
    <col min="13316" max="13316" width="19.7109375" style="62" customWidth="1"/>
    <col min="13317" max="13317" width="14.42578125" style="62" bestFit="1" customWidth="1"/>
    <col min="13318" max="13318" width="13.42578125" style="62" bestFit="1" customWidth="1"/>
    <col min="13319" max="13566" width="11.42578125" style="62"/>
    <col min="13567" max="13567" width="23.7109375" style="62" bestFit="1" customWidth="1"/>
    <col min="13568" max="13568" width="12.85546875" style="62" customWidth="1"/>
    <col min="13569" max="13569" width="11.42578125" style="62"/>
    <col min="13570" max="13570" width="29.7109375" style="62" customWidth="1"/>
    <col min="13571" max="13571" width="13" style="62" bestFit="1" customWidth="1"/>
    <col min="13572" max="13572" width="19.7109375" style="62" customWidth="1"/>
    <col min="13573" max="13573" width="14.42578125" style="62" bestFit="1" customWidth="1"/>
    <col min="13574" max="13574" width="13.42578125" style="62" bestFit="1" customWidth="1"/>
    <col min="13575" max="13822" width="11.42578125" style="62"/>
    <col min="13823" max="13823" width="23.7109375" style="62" bestFit="1" customWidth="1"/>
    <col min="13824" max="13824" width="12.85546875" style="62" customWidth="1"/>
    <col min="13825" max="13825" width="11.42578125" style="62"/>
    <col min="13826" max="13826" width="29.7109375" style="62" customWidth="1"/>
    <col min="13827" max="13827" width="13" style="62" bestFit="1" customWidth="1"/>
    <col min="13828" max="13828" width="19.7109375" style="62" customWidth="1"/>
    <col min="13829" max="13829" width="14.42578125" style="62" bestFit="1" customWidth="1"/>
    <col min="13830" max="13830" width="13.42578125" style="62" bestFit="1" customWidth="1"/>
    <col min="13831" max="14078" width="11.42578125" style="62"/>
    <col min="14079" max="14079" width="23.7109375" style="62" bestFit="1" customWidth="1"/>
    <col min="14080" max="14080" width="12.85546875" style="62" customWidth="1"/>
    <col min="14081" max="14081" width="11.42578125" style="62"/>
    <col min="14082" max="14082" width="29.7109375" style="62" customWidth="1"/>
    <col min="14083" max="14083" width="13" style="62" bestFit="1" customWidth="1"/>
    <col min="14084" max="14084" width="19.7109375" style="62" customWidth="1"/>
    <col min="14085" max="14085" width="14.42578125" style="62" bestFit="1" customWidth="1"/>
    <col min="14086" max="14086" width="13.42578125" style="62" bestFit="1" customWidth="1"/>
    <col min="14087" max="14334" width="11.42578125" style="62"/>
    <col min="14335" max="14335" width="23.7109375" style="62" bestFit="1" customWidth="1"/>
    <col min="14336" max="14336" width="12.85546875" style="62" customWidth="1"/>
    <col min="14337" max="14337" width="11.42578125" style="62"/>
    <col min="14338" max="14338" width="29.7109375" style="62" customWidth="1"/>
    <col min="14339" max="14339" width="13" style="62" bestFit="1" customWidth="1"/>
    <col min="14340" max="14340" width="19.7109375" style="62" customWidth="1"/>
    <col min="14341" max="14341" width="14.42578125" style="62" bestFit="1" customWidth="1"/>
    <col min="14342" max="14342" width="13.42578125" style="62" bestFit="1" customWidth="1"/>
    <col min="14343" max="14590" width="11.42578125" style="62"/>
    <col min="14591" max="14591" width="23.7109375" style="62" bestFit="1" customWidth="1"/>
    <col min="14592" max="14592" width="12.85546875" style="62" customWidth="1"/>
    <col min="14593" max="14593" width="11.42578125" style="62"/>
    <col min="14594" max="14594" width="29.7109375" style="62" customWidth="1"/>
    <col min="14595" max="14595" width="13" style="62" bestFit="1" customWidth="1"/>
    <col min="14596" max="14596" width="19.7109375" style="62" customWidth="1"/>
    <col min="14597" max="14597" width="14.42578125" style="62" bestFit="1" customWidth="1"/>
    <col min="14598" max="14598" width="13.42578125" style="62" bestFit="1" customWidth="1"/>
    <col min="14599" max="14846" width="11.42578125" style="62"/>
    <col min="14847" max="14847" width="23.7109375" style="62" bestFit="1" customWidth="1"/>
    <col min="14848" max="14848" width="12.85546875" style="62" customWidth="1"/>
    <col min="14849" max="14849" width="11.42578125" style="62"/>
    <col min="14850" max="14850" width="29.7109375" style="62" customWidth="1"/>
    <col min="14851" max="14851" width="13" style="62" bestFit="1" customWidth="1"/>
    <col min="14852" max="14852" width="19.7109375" style="62" customWidth="1"/>
    <col min="14853" max="14853" width="14.42578125" style="62" bestFit="1" customWidth="1"/>
    <col min="14854" max="14854" width="13.42578125" style="62" bestFit="1" customWidth="1"/>
    <col min="14855" max="15102" width="11.42578125" style="62"/>
    <col min="15103" max="15103" width="23.7109375" style="62" bestFit="1" customWidth="1"/>
    <col min="15104" max="15104" width="12.85546875" style="62" customWidth="1"/>
    <col min="15105" max="15105" width="11.42578125" style="62"/>
    <col min="15106" max="15106" width="29.7109375" style="62" customWidth="1"/>
    <col min="15107" max="15107" width="13" style="62" bestFit="1" customWidth="1"/>
    <col min="15108" max="15108" width="19.7109375" style="62" customWidth="1"/>
    <col min="15109" max="15109" width="14.42578125" style="62" bestFit="1" customWidth="1"/>
    <col min="15110" max="15110" width="13.42578125" style="62" bestFit="1" customWidth="1"/>
    <col min="15111" max="15358" width="11.42578125" style="62"/>
    <col min="15359" max="15359" width="23.7109375" style="62" bestFit="1" customWidth="1"/>
    <col min="15360" max="15360" width="12.85546875" style="62" customWidth="1"/>
    <col min="15361" max="15361" width="11.42578125" style="62"/>
    <col min="15362" max="15362" width="29.7109375" style="62" customWidth="1"/>
    <col min="15363" max="15363" width="13" style="62" bestFit="1" customWidth="1"/>
    <col min="15364" max="15364" width="19.7109375" style="62" customWidth="1"/>
    <col min="15365" max="15365" width="14.42578125" style="62" bestFit="1" customWidth="1"/>
    <col min="15366" max="15366" width="13.42578125" style="62" bestFit="1" customWidth="1"/>
    <col min="15367" max="15614" width="11.42578125" style="62"/>
    <col min="15615" max="15615" width="23.7109375" style="62" bestFit="1" customWidth="1"/>
    <col min="15616" max="15616" width="12.85546875" style="62" customWidth="1"/>
    <col min="15617" max="15617" width="11.42578125" style="62"/>
    <col min="15618" max="15618" width="29.7109375" style="62" customWidth="1"/>
    <col min="15619" max="15619" width="13" style="62" bestFit="1" customWidth="1"/>
    <col min="15620" max="15620" width="19.7109375" style="62" customWidth="1"/>
    <col min="15621" max="15621" width="14.42578125" style="62" bestFit="1" customWidth="1"/>
    <col min="15622" max="15622" width="13.42578125" style="62" bestFit="1" customWidth="1"/>
    <col min="15623" max="15870" width="11.42578125" style="62"/>
    <col min="15871" max="15871" width="23.7109375" style="62" bestFit="1" customWidth="1"/>
    <col min="15872" max="15872" width="12.85546875" style="62" customWidth="1"/>
    <col min="15873" max="15873" width="11.42578125" style="62"/>
    <col min="15874" max="15874" width="29.7109375" style="62" customWidth="1"/>
    <col min="15875" max="15875" width="13" style="62" bestFit="1" customWidth="1"/>
    <col min="15876" max="15876" width="19.7109375" style="62" customWidth="1"/>
    <col min="15877" max="15877" width="14.42578125" style="62" bestFit="1" customWidth="1"/>
    <col min="15878" max="15878" width="13.42578125" style="62" bestFit="1" customWidth="1"/>
    <col min="15879" max="16126" width="11.42578125" style="62"/>
    <col min="16127" max="16127" width="23.7109375" style="62" bestFit="1" customWidth="1"/>
    <col min="16128" max="16128" width="12.85546875" style="62" customWidth="1"/>
    <col min="16129" max="16129" width="11.42578125" style="62"/>
    <col min="16130" max="16130" width="29.7109375" style="62" customWidth="1"/>
    <col min="16131" max="16131" width="13" style="62" bestFit="1" customWidth="1"/>
    <col min="16132" max="16132" width="19.7109375" style="62" customWidth="1"/>
    <col min="16133" max="16133" width="14.42578125" style="62" bestFit="1" customWidth="1"/>
    <col min="16134" max="16134" width="13.42578125" style="62" bestFit="1" customWidth="1"/>
    <col min="16135" max="16384" width="11.42578125" style="62"/>
  </cols>
  <sheetData>
    <row r="2" spans="1:13" ht="18">
      <c r="B2" s="130" t="s">
        <v>319</v>
      </c>
      <c r="C2" s="130"/>
      <c r="D2" s="130"/>
      <c r="E2" s="130"/>
      <c r="G2" s="125"/>
      <c r="H2" s="125"/>
      <c r="I2" s="125"/>
      <c r="J2" s="125"/>
    </row>
    <row r="3" spans="1:13">
      <c r="A3" s="125"/>
      <c r="B3" s="80"/>
      <c r="C3" s="125"/>
      <c r="D3" s="125"/>
      <c r="E3" s="125"/>
      <c r="G3" s="88"/>
      <c r="H3" s="124"/>
      <c r="I3" s="88"/>
      <c r="J3" s="88"/>
    </row>
    <row r="4" spans="1:13" ht="15">
      <c r="A4" s="125"/>
      <c r="B4" s="80" t="s">
        <v>305</v>
      </c>
      <c r="C4" s="125"/>
      <c r="D4" s="125"/>
      <c r="E4" s="125"/>
      <c r="G4" s="131"/>
      <c r="H4" s="132"/>
      <c r="I4" s="133"/>
      <c r="J4" s="132"/>
      <c r="K4" s="86"/>
      <c r="L4" s="94"/>
    </row>
    <row r="5" spans="1:13">
      <c r="A5" s="113"/>
      <c r="B5" s="134" t="s">
        <v>1396</v>
      </c>
      <c r="C5" s="135">
        <f>Kd!F13</f>
        <v>617988118.78026402</v>
      </c>
      <c r="D5" s="113"/>
      <c r="E5" s="136"/>
      <c r="G5" s="137"/>
      <c r="H5" s="138"/>
      <c r="I5" s="139"/>
      <c r="J5" s="138"/>
      <c r="K5" s="86"/>
      <c r="L5" s="86"/>
      <c r="M5" s="86"/>
    </row>
    <row r="6" spans="1:13">
      <c r="A6" s="109"/>
      <c r="B6" s="134" t="s">
        <v>1397</v>
      </c>
      <c r="C6" s="135">
        <f>Ke!E7</f>
        <v>777091964.51499438</v>
      </c>
      <c r="D6" s="140" t="s">
        <v>306</v>
      </c>
      <c r="E6" s="10" t="s">
        <v>782</v>
      </c>
      <c r="G6" s="125"/>
      <c r="H6" s="125"/>
      <c r="I6" s="125"/>
      <c r="J6" s="125"/>
    </row>
    <row r="7" spans="1:13">
      <c r="A7" s="125"/>
      <c r="B7" s="125"/>
      <c r="C7" s="141"/>
      <c r="D7" s="125"/>
      <c r="E7" s="125"/>
      <c r="G7" s="125"/>
      <c r="H7" s="125"/>
      <c r="I7" s="125"/>
      <c r="J7" s="125"/>
    </row>
    <row r="8" spans="1:13">
      <c r="A8" s="125"/>
      <c r="B8" s="142" t="s">
        <v>308</v>
      </c>
      <c r="C8" s="143"/>
      <c r="D8" s="125"/>
      <c r="E8" s="125"/>
      <c r="G8" s="125"/>
      <c r="H8" s="125"/>
      <c r="I8" s="125"/>
      <c r="J8" s="125"/>
    </row>
    <row r="9" spans="1:13">
      <c r="A9" s="125"/>
      <c r="B9" s="110" t="s">
        <v>309</v>
      </c>
      <c r="C9" s="144">
        <f>+C5/(C5+C6)</f>
        <v>0.44297680554691954</v>
      </c>
      <c r="D9" s="145" t="s">
        <v>310</v>
      </c>
      <c r="E9" s="125"/>
      <c r="G9" s="125"/>
      <c r="H9" s="125"/>
      <c r="I9" s="125"/>
      <c r="J9" s="125"/>
    </row>
    <row r="10" spans="1:13">
      <c r="A10" s="125"/>
      <c r="B10" s="110" t="s">
        <v>311</v>
      </c>
      <c r="C10" s="144">
        <f>1-C9</f>
        <v>0.55702319445308046</v>
      </c>
      <c r="D10" s="145" t="s">
        <v>312</v>
      </c>
      <c r="E10" s="125"/>
    </row>
    <row r="11" spans="1:13">
      <c r="A11" s="125"/>
      <c r="B11" s="110" t="s">
        <v>313</v>
      </c>
      <c r="C11" s="146">
        <f>Ke!C13</f>
        <v>0.28000000000000003</v>
      </c>
      <c r="D11" s="145" t="s">
        <v>20</v>
      </c>
      <c r="E11" s="125"/>
    </row>
    <row r="12" spans="1:13">
      <c r="A12" s="125"/>
      <c r="B12" s="110" t="s">
        <v>314</v>
      </c>
      <c r="C12" s="147">
        <f>Kd!F14</f>
        <v>4.6378505761619226E-2</v>
      </c>
      <c r="D12" s="145" t="s">
        <v>315</v>
      </c>
      <c r="E12" s="10" t="s">
        <v>1691</v>
      </c>
    </row>
    <row r="13" spans="1:13">
      <c r="A13" s="125"/>
      <c r="B13" s="148" t="s">
        <v>316</v>
      </c>
      <c r="C13" s="149">
        <f>Ke!C23</f>
        <v>0.14564961299470019</v>
      </c>
      <c r="D13" s="145" t="s">
        <v>12</v>
      </c>
      <c r="E13" s="10" t="s">
        <v>1692</v>
      </c>
    </row>
    <row r="14" spans="1:13">
      <c r="A14" s="125"/>
      <c r="B14" s="120" t="s">
        <v>317</v>
      </c>
      <c r="C14" s="150">
        <f>+C13*C10+C12*(1-C11)*C9</f>
        <v>9.5922326377554268E-2</v>
      </c>
      <c r="D14" s="125"/>
      <c r="E14" s="125"/>
    </row>
    <row r="15" spans="1:13">
      <c r="A15" s="125"/>
      <c r="B15" s="125"/>
      <c r="C15" s="125"/>
      <c r="D15" s="125"/>
      <c r="E15" s="125"/>
    </row>
    <row r="16" spans="1:13">
      <c r="A16" s="125"/>
      <c r="B16" s="125"/>
      <c r="C16" s="125"/>
      <c r="D16" s="125"/>
      <c r="E16" s="125"/>
    </row>
    <row r="17" spans="1:5">
      <c r="A17" s="125"/>
      <c r="B17" s="151" t="s">
        <v>318</v>
      </c>
      <c r="C17" s="143"/>
      <c r="D17" s="125"/>
      <c r="E17" s="125"/>
    </row>
    <row r="18" spans="1:5">
      <c r="A18" s="125"/>
      <c r="B18" s="110" t="s">
        <v>309</v>
      </c>
      <c r="C18" s="152">
        <f>+Ke!C26/(Ke!C26+1)</f>
        <v>0.54545454545454541</v>
      </c>
      <c r="D18" s="125"/>
      <c r="E18" s="125"/>
    </row>
    <row r="19" spans="1:5">
      <c r="A19" s="113"/>
      <c r="B19" s="110" t="s">
        <v>311</v>
      </c>
      <c r="C19" s="152">
        <f>1-C18</f>
        <v>0.45454545454545459</v>
      </c>
      <c r="D19" s="125"/>
      <c r="E19" s="125"/>
    </row>
    <row r="20" spans="1:5">
      <c r="A20" s="113"/>
      <c r="B20" s="110" t="s">
        <v>314</v>
      </c>
      <c r="C20" s="147">
        <f>+C12</f>
        <v>4.6378505761619226E-2</v>
      </c>
      <c r="D20" s="145" t="s">
        <v>315</v>
      </c>
      <c r="E20" s="125"/>
    </row>
    <row r="21" spans="1:5">
      <c r="A21" s="113"/>
      <c r="B21" s="110" t="s">
        <v>316</v>
      </c>
      <c r="C21" s="146">
        <f>+Ke!C36</f>
        <v>0.16163659909969075</v>
      </c>
      <c r="D21" s="145" t="s">
        <v>12</v>
      </c>
      <c r="E21" s="125"/>
    </row>
    <row r="22" spans="1:5">
      <c r="A22" s="113"/>
      <c r="B22" s="148" t="s">
        <v>5</v>
      </c>
      <c r="C22" s="153">
        <f>Ke!C27</f>
        <v>0.26</v>
      </c>
      <c r="D22" s="125"/>
      <c r="E22" s="125"/>
    </row>
    <row r="23" spans="1:5">
      <c r="A23" s="113"/>
      <c r="B23" s="120" t="s">
        <v>318</v>
      </c>
      <c r="C23" s="154">
        <f>C21*C19+C20*(1-C22)*C18</f>
        <v>9.2191232825458463E-2</v>
      </c>
      <c r="D23" s="125"/>
      <c r="E23" s="125"/>
    </row>
    <row r="24" spans="1:5">
      <c r="A24" s="113"/>
      <c r="B24" s="125"/>
      <c r="C24" s="125"/>
      <c r="D24" s="125"/>
      <c r="E24" s="125"/>
    </row>
    <row r="25" spans="1:5">
      <c r="A25" s="113"/>
      <c r="B25" s="125"/>
      <c r="C25" s="125"/>
      <c r="D25" s="125"/>
      <c r="E25" s="125"/>
    </row>
    <row r="26" spans="1:5">
      <c r="A26" s="113"/>
      <c r="B26" s="125"/>
      <c r="C26" s="125"/>
      <c r="D26" s="125"/>
      <c r="E26" s="125"/>
    </row>
    <row r="27" spans="1:5">
      <c r="A27" s="129"/>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S67"/>
  <sheetViews>
    <sheetView showGridLines="0" workbookViewId="0">
      <selection activeCell="J21" sqref="J21:J22"/>
    </sheetView>
  </sheetViews>
  <sheetFormatPr baseColWidth="10" defaultRowHeight="15"/>
  <cols>
    <col min="1" max="1" width="7.7109375" customWidth="1"/>
    <col min="2" max="2" width="11.5703125" customWidth="1"/>
    <col min="3" max="3" width="16.85546875" bestFit="1" customWidth="1"/>
    <col min="4" max="4" width="14.140625" customWidth="1"/>
    <col min="5" max="5" width="15.28515625" customWidth="1"/>
    <col min="6" max="6" width="11.85546875" customWidth="1"/>
    <col min="7" max="7" width="10.5703125" bestFit="1" customWidth="1"/>
    <col min="8" max="10" width="15.140625" bestFit="1" customWidth="1"/>
    <col min="11" max="11" width="17.85546875" bestFit="1" customWidth="1"/>
    <col min="12" max="12" width="10.28515625" customWidth="1"/>
    <col min="13" max="13" width="7.42578125" customWidth="1"/>
    <col min="14" max="14" width="14.7109375" customWidth="1"/>
    <col min="15" max="15" width="11" customWidth="1"/>
    <col min="16" max="16" width="13" customWidth="1"/>
    <col min="17" max="18" width="7.5703125" customWidth="1"/>
    <col min="19" max="19" width="5.5703125" customWidth="1"/>
    <col min="21" max="21" width="14.140625" customWidth="1"/>
    <col min="22" max="22" width="14.140625" bestFit="1" customWidth="1"/>
    <col min="23" max="23" width="15.140625" bestFit="1" customWidth="1"/>
    <col min="26" max="26" width="10.42578125" customWidth="1"/>
  </cols>
  <sheetData>
    <row r="1" spans="2:19">
      <c r="G1" s="1037"/>
      <c r="H1" s="1037"/>
      <c r="I1" s="1037"/>
      <c r="J1" s="1037"/>
    </row>
    <row r="2" spans="2:19" ht="18.75">
      <c r="B2" s="1038" t="s">
        <v>1778</v>
      </c>
      <c r="G2" s="1037"/>
      <c r="H2" s="1037"/>
      <c r="I2" s="1037"/>
      <c r="J2" s="1037"/>
    </row>
    <row r="3" spans="2:19">
      <c r="L3" s="1037"/>
      <c r="M3" s="1037"/>
    </row>
    <row r="4" spans="2:19">
      <c r="B4" s="1039"/>
      <c r="C4" s="1766" t="s">
        <v>1726</v>
      </c>
      <c r="D4" s="1767"/>
      <c r="E4" s="1768"/>
      <c r="F4" s="1766" t="s">
        <v>1727</v>
      </c>
      <c r="G4" s="1767"/>
      <c r="H4" s="1768"/>
      <c r="I4" s="1766" t="s">
        <v>1728</v>
      </c>
      <c r="J4" s="1767"/>
      <c r="K4" s="1768"/>
      <c r="L4" s="1040"/>
      <c r="M4" s="1037"/>
      <c r="N4" s="1037"/>
      <c r="O4" s="1037"/>
    </row>
    <row r="5" spans="2:19">
      <c r="B5" s="1041"/>
      <c r="C5" s="1042" t="s">
        <v>1729</v>
      </c>
      <c r="D5" s="1043" t="s">
        <v>1730</v>
      </c>
      <c r="E5" s="1044" t="s">
        <v>841</v>
      </c>
      <c r="F5" s="1042" t="s">
        <v>1729</v>
      </c>
      <c r="G5" s="1045" t="s">
        <v>1730</v>
      </c>
      <c r="H5" s="1046" t="s">
        <v>1731</v>
      </c>
      <c r="I5" s="1042" t="s">
        <v>1729</v>
      </c>
      <c r="J5" s="1045" t="s">
        <v>1730</v>
      </c>
      <c r="K5" s="1046" t="s">
        <v>841</v>
      </c>
      <c r="L5" s="1040"/>
      <c r="M5" s="1037"/>
      <c r="N5" s="1037"/>
      <c r="O5" s="1037"/>
    </row>
    <row r="6" spans="2:19">
      <c r="B6" s="1047" t="s">
        <v>1732</v>
      </c>
      <c r="C6" s="1048">
        <f>I24</f>
        <v>847191731</v>
      </c>
      <c r="D6" s="1049">
        <f>I25</f>
        <v>7388470</v>
      </c>
      <c r="E6" s="1050">
        <f t="shared" ref="E6:E10" si="0">SUM(C6:D6)</f>
        <v>854580201</v>
      </c>
      <c r="F6" s="1051">
        <f>H24</f>
        <v>7.1920000000000002</v>
      </c>
      <c r="G6" s="1052">
        <f>H25</f>
        <v>3.9299999999999997</v>
      </c>
      <c r="H6" s="1053">
        <f>K6/E6</f>
        <v>7.1637976275230848</v>
      </c>
      <c r="I6" s="1048">
        <f t="shared" ref="I6:J10" si="1">C6*F6</f>
        <v>6093002929.3520002</v>
      </c>
      <c r="J6" s="1049">
        <f t="shared" si="1"/>
        <v>29036687.099999998</v>
      </c>
      <c r="K6" s="1054">
        <f>SUM(I6:J6)</f>
        <v>6122039616.4520006</v>
      </c>
      <c r="L6" s="1055"/>
      <c r="M6" s="1056"/>
      <c r="N6" s="1056"/>
      <c r="O6" s="1056"/>
      <c r="P6" s="1057"/>
      <c r="Q6" s="1057"/>
    </row>
    <row r="7" spans="2:19">
      <c r="B7" s="1177" t="s">
        <v>1733</v>
      </c>
      <c r="C7" s="1178">
        <f>I33</f>
        <v>531461479</v>
      </c>
      <c r="D7" s="1179">
        <f>I34</f>
        <v>50503124</v>
      </c>
      <c r="E7" s="1180">
        <f t="shared" si="0"/>
        <v>581964603</v>
      </c>
      <c r="F7" s="1181">
        <f>H33</f>
        <v>5.5120000000000005</v>
      </c>
      <c r="G7" s="1182">
        <f>H34</f>
        <v>3.7719999999999998</v>
      </c>
      <c r="H7" s="1183">
        <f t="shared" ref="H7:H10" si="2">K7/E7</f>
        <v>5.3610020951325801</v>
      </c>
      <c r="I7" s="1178">
        <f t="shared" si="1"/>
        <v>2929415672.2480001</v>
      </c>
      <c r="J7" s="1179">
        <f t="shared" si="1"/>
        <v>190497783.72799999</v>
      </c>
      <c r="K7" s="1184">
        <f t="shared" ref="K7" si="3">SUM(I7:J7)</f>
        <v>3119913455.9760003</v>
      </c>
      <c r="L7" s="1055"/>
      <c r="M7" s="1056"/>
      <c r="N7" s="1056"/>
      <c r="O7" s="1056"/>
      <c r="P7" s="1057"/>
      <c r="Q7" s="1057"/>
    </row>
    <row r="8" spans="2:19">
      <c r="B8" s="1047" t="s">
        <v>1734</v>
      </c>
      <c r="C8" s="1048">
        <f>I42</f>
        <v>24863591</v>
      </c>
      <c r="D8" s="1049">
        <f>I43</f>
        <v>22059558</v>
      </c>
      <c r="E8" s="1050">
        <f t="shared" si="0"/>
        <v>46923149</v>
      </c>
      <c r="F8" s="1051">
        <f>H42</f>
        <v>8.6374999999999993</v>
      </c>
      <c r="G8" s="1052">
        <f>H43</f>
        <v>0.76</v>
      </c>
      <c r="H8" s="1053">
        <f t="shared" si="2"/>
        <v>4.9341217773449095</v>
      </c>
      <c r="I8" s="1048">
        <f t="shared" si="1"/>
        <v>214759267.26249999</v>
      </c>
      <c r="J8" s="1049">
        <f t="shared" si="1"/>
        <v>16765264.08</v>
      </c>
      <c r="K8" s="1054">
        <f>SUM(I8:J8)</f>
        <v>231524531.3425</v>
      </c>
      <c r="L8" s="1055"/>
      <c r="M8" s="1056"/>
      <c r="N8" s="1056"/>
      <c r="O8" s="1056"/>
      <c r="P8" s="1057"/>
      <c r="Q8" s="1057"/>
    </row>
    <row r="9" spans="2:19">
      <c r="B9" s="1047" t="s">
        <v>1735</v>
      </c>
      <c r="C9" s="1048">
        <f>I50</f>
        <v>1309748288</v>
      </c>
      <c r="D9" s="1049">
        <f>I51</f>
        <v>21415462</v>
      </c>
      <c r="E9" s="1050">
        <f t="shared" si="0"/>
        <v>1331163750</v>
      </c>
      <c r="F9" s="1051">
        <f>H50</f>
        <v>2.7925</v>
      </c>
      <c r="G9" s="1052">
        <f>H51</f>
        <v>2.3274999999999997</v>
      </c>
      <c r="H9" s="1053">
        <f t="shared" si="2"/>
        <v>2.7850191849387422</v>
      </c>
      <c r="I9" s="1048">
        <f t="shared" si="1"/>
        <v>3657472094.2399998</v>
      </c>
      <c r="J9" s="1049">
        <f t="shared" si="1"/>
        <v>49844487.804999992</v>
      </c>
      <c r="K9" s="1054">
        <f>SUM(I9:J9)</f>
        <v>3707316582.0449996</v>
      </c>
      <c r="L9" s="1055"/>
      <c r="M9" s="1056"/>
      <c r="N9" s="1056"/>
      <c r="O9" s="1056"/>
      <c r="P9" s="1057"/>
      <c r="Q9" s="1057"/>
    </row>
    <row r="10" spans="2:19">
      <c r="B10" s="1041" t="s">
        <v>1736</v>
      </c>
      <c r="C10" s="1058">
        <f>I58</f>
        <v>941875171</v>
      </c>
      <c r="D10" s="1059">
        <f>I59</f>
        <v>200935704</v>
      </c>
      <c r="E10" s="1060">
        <f t="shared" si="0"/>
        <v>1142810875</v>
      </c>
      <c r="F10" s="1061">
        <f>H58</f>
        <v>0.84</v>
      </c>
      <c r="G10" s="1062">
        <f>H59</f>
        <v>0.63724999999999998</v>
      </c>
      <c r="H10" s="1063">
        <f t="shared" si="2"/>
        <v>0.80435130704719615</v>
      </c>
      <c r="I10" s="1058">
        <f t="shared" si="1"/>
        <v>791175143.63999999</v>
      </c>
      <c r="J10" s="1059">
        <f t="shared" si="1"/>
        <v>128046277.374</v>
      </c>
      <c r="K10" s="1064">
        <f>SUM(I10:J10)</f>
        <v>919221421.01399994</v>
      </c>
      <c r="L10" s="1055"/>
      <c r="M10" s="1056"/>
      <c r="N10" s="1056"/>
      <c r="O10" s="1056"/>
      <c r="P10" s="1057"/>
      <c r="Q10" s="1057"/>
    </row>
    <row r="11" spans="2:19">
      <c r="B11" s="1065" t="s">
        <v>783</v>
      </c>
      <c r="C11" s="1058">
        <f>SUM(C6:C10)</f>
        <v>3655140260</v>
      </c>
      <c r="D11" s="1059">
        <f>SUM(D6:D10)</f>
        <v>302302318</v>
      </c>
      <c r="E11" s="1060">
        <f>SUM(E6:E10)</f>
        <v>3957442578</v>
      </c>
      <c r="F11" s="1066">
        <f>H11*F19</f>
        <v>3.7442681082620073</v>
      </c>
      <c r="G11" s="1067">
        <f>H11*G19</f>
        <v>1.3701201592738037</v>
      </c>
      <c r="H11" s="1063">
        <f>K11/E11</f>
        <v>3.5629109782195054</v>
      </c>
      <c r="I11" s="1068">
        <f>SUM(I6:I10)</f>
        <v>13685825106.7425</v>
      </c>
      <c r="J11" s="1069">
        <f>SUM(J6:J10)</f>
        <v>414190500.08700001</v>
      </c>
      <c r="K11" s="1064">
        <f>SUM(K6:K10)</f>
        <v>14100015606.829502</v>
      </c>
      <c r="L11" s="1055"/>
      <c r="M11" s="1056"/>
      <c r="N11" s="1056"/>
      <c r="O11" s="1056"/>
      <c r="P11" s="1057"/>
      <c r="Q11" s="1057"/>
    </row>
    <row r="12" spans="2:19">
      <c r="B12" s="1037"/>
      <c r="C12" s="1057"/>
      <c r="D12" s="1057"/>
      <c r="E12" s="1057"/>
      <c r="F12" s="1070"/>
      <c r="G12" s="1071" t="s">
        <v>463</v>
      </c>
      <c r="H12" s="1174">
        <f>F11/G11</f>
        <v>2.7328027274969506</v>
      </c>
      <c r="I12" s="1056"/>
      <c r="J12" s="1056"/>
      <c r="K12" s="1073">
        <f>C11*F11+D11*G11-K11</f>
        <v>0</v>
      </c>
      <c r="L12" s="1056"/>
      <c r="M12" s="1056"/>
      <c r="N12" s="1052"/>
      <c r="O12" s="1052"/>
      <c r="R12" s="1057"/>
      <c r="S12" s="1057"/>
    </row>
    <row r="13" spans="2:19">
      <c r="B13" s="1037"/>
      <c r="F13" s="1070"/>
      <c r="G13" s="1070"/>
      <c r="J13" s="1057"/>
      <c r="K13" s="1074"/>
      <c r="L13" s="1075"/>
      <c r="M13" s="1076"/>
      <c r="N13" s="1037"/>
      <c r="O13" s="1037"/>
    </row>
    <row r="14" spans="2:19">
      <c r="B14" s="1039" t="s">
        <v>1732</v>
      </c>
      <c r="C14" s="1077">
        <f t="shared" ref="C14:C19" si="4">C6/E6</f>
        <v>0.99135426962694162</v>
      </c>
      <c r="D14" s="1078">
        <f t="shared" ref="D14:D19" si="5">D6/E6</f>
        <v>8.6457303730583385E-3</v>
      </c>
      <c r="E14" s="1079">
        <f t="shared" ref="E14:E18" si="6">SUM(C14:D14)</f>
        <v>1</v>
      </c>
      <c r="F14" s="1077">
        <f>F6/H6</f>
        <v>1.0039367907837824</v>
      </c>
      <c r="G14" s="1078">
        <f>G6/H6</f>
        <v>0.5485917113153872</v>
      </c>
      <c r="H14" s="1147">
        <f>+F6/G6</f>
        <v>1.830025445292621</v>
      </c>
      <c r="I14" s="1077">
        <f>C14*F14</f>
        <v>0.99525702397907234</v>
      </c>
      <c r="J14" s="1078">
        <f t="shared" ref="I14:J18" si="7">D14*G14</f>
        <v>4.7429760209274953E-3</v>
      </c>
      <c r="K14" s="1079">
        <f t="shared" ref="K14:K18" si="8">SUM(I14:J14)</f>
        <v>0.99999999999999989</v>
      </c>
      <c r="L14" s="1057">
        <f t="shared" ref="L14:L19" si="9">I6/K6</f>
        <v>0.99525702397907245</v>
      </c>
      <c r="M14" s="1057">
        <f t="shared" ref="M14:M19" si="10">J6/K6</f>
        <v>4.7429760209274953E-3</v>
      </c>
    </row>
    <row r="15" spans="2:19">
      <c r="B15" s="1177" t="s">
        <v>1733</v>
      </c>
      <c r="C15" s="1185">
        <f t="shared" si="4"/>
        <v>0.91321959490378146</v>
      </c>
      <c r="D15" s="1072">
        <f t="shared" si="5"/>
        <v>8.6780405096218538E-2</v>
      </c>
      <c r="E15" s="1186">
        <f t="shared" si="6"/>
        <v>1</v>
      </c>
      <c r="F15" s="1185">
        <f>F7/H7</f>
        <v>1.0281659850505405</v>
      </c>
      <c r="G15" s="1072">
        <f>G7/H7</f>
        <v>0.70359979963908525</v>
      </c>
      <c r="H15" s="1314">
        <f>+F7/G7</f>
        <v>1.4612937433722166</v>
      </c>
      <c r="I15" s="1185">
        <f>C15*F15</f>
        <v>0.93894132436170197</v>
      </c>
      <c r="J15" s="1072">
        <f t="shared" si="7"/>
        <v>6.1058675638298018E-2</v>
      </c>
      <c r="K15" s="1186">
        <f t="shared" si="8"/>
        <v>1</v>
      </c>
      <c r="L15" s="1057">
        <f t="shared" si="9"/>
        <v>0.93894132436170197</v>
      </c>
      <c r="M15" s="1057">
        <f t="shared" si="10"/>
        <v>6.1058675638298018E-2</v>
      </c>
    </row>
    <row r="16" spans="2:19">
      <c r="B16" s="1047" t="s">
        <v>1734</v>
      </c>
      <c r="C16" s="1055">
        <f t="shared" si="4"/>
        <v>0.52987899426783991</v>
      </c>
      <c r="D16" s="1056">
        <f t="shared" si="5"/>
        <v>0.47012100573216004</v>
      </c>
      <c r="E16" s="1080">
        <f t="shared" si="6"/>
        <v>1</v>
      </c>
      <c r="F16" s="1055">
        <f>F8/H8</f>
        <v>1.7505648197941128</v>
      </c>
      <c r="G16" s="1056">
        <f>G8/H8</f>
        <v>0.15402943711068318</v>
      </c>
      <c r="H16" s="1172">
        <f>+F8/G8</f>
        <v>11.365131578947368</v>
      </c>
      <c r="I16" s="1055">
        <f t="shared" si="7"/>
        <v>0.92758752611316686</v>
      </c>
      <c r="J16" s="1056">
        <f t="shared" si="7"/>
        <v>7.2412473886832876E-2</v>
      </c>
      <c r="K16" s="1080">
        <f t="shared" si="8"/>
        <v>0.99999999999999978</v>
      </c>
      <c r="L16" s="1057">
        <f t="shared" si="9"/>
        <v>0.92758752611316708</v>
      </c>
      <c r="M16" s="1057">
        <f t="shared" si="10"/>
        <v>7.2412473886832876E-2</v>
      </c>
    </row>
    <row r="17" spans="2:13">
      <c r="B17" s="1047" t="s">
        <v>1735</v>
      </c>
      <c r="C17" s="1055">
        <f t="shared" si="4"/>
        <v>0.98391222567471504</v>
      </c>
      <c r="D17" s="1056">
        <f t="shared" si="5"/>
        <v>1.6087774325284923E-2</v>
      </c>
      <c r="E17" s="1080">
        <f t="shared" si="6"/>
        <v>1</v>
      </c>
      <c r="F17" s="1055">
        <f>F9/H9</f>
        <v>1.0026860910336681</v>
      </c>
      <c r="G17" s="1056">
        <f>G9/H9</f>
        <v>0.83572135250881374</v>
      </c>
      <c r="H17" s="1172">
        <f t="shared" ref="H17:H18" si="11">+F9/G9</f>
        <v>1.1997851772287864</v>
      </c>
      <c r="I17" s="1055">
        <f t="shared" si="7"/>
        <v>0.98655510348201636</v>
      </c>
      <c r="J17" s="1056">
        <f t="shared" si="7"/>
        <v>1.3444896517983685E-2</v>
      </c>
      <c r="K17" s="1080">
        <f t="shared" si="8"/>
        <v>1</v>
      </c>
      <c r="L17" s="1057">
        <f t="shared" si="9"/>
        <v>0.98655510348201636</v>
      </c>
      <c r="M17" s="1057">
        <f t="shared" si="10"/>
        <v>1.3444896517983685E-2</v>
      </c>
    </row>
    <row r="18" spans="2:13">
      <c r="B18" s="1041" t="s">
        <v>1737</v>
      </c>
      <c r="C18" s="1081">
        <f t="shared" si="4"/>
        <v>0.82417414079998141</v>
      </c>
      <c r="D18" s="1082">
        <f t="shared" si="5"/>
        <v>0.17582585920001856</v>
      </c>
      <c r="E18" s="1083">
        <f t="shared" si="6"/>
        <v>1</v>
      </c>
      <c r="F18" s="1081">
        <f>F10/H10</f>
        <v>1.0443198048420801</v>
      </c>
      <c r="G18" s="1082">
        <f>G10/H10</f>
        <v>0.7922533281376376</v>
      </c>
      <c r="H18" s="1173">
        <f t="shared" si="11"/>
        <v>1.3181639858768144</v>
      </c>
      <c r="I18" s="1081">
        <f t="shared" si="7"/>
        <v>0.86070137787612566</v>
      </c>
      <c r="J18" s="1082">
        <f t="shared" si="7"/>
        <v>0.13929862212387437</v>
      </c>
      <c r="K18" s="1083">
        <f t="shared" si="8"/>
        <v>1</v>
      </c>
      <c r="L18" s="1057">
        <f t="shared" si="9"/>
        <v>0.86070137787612566</v>
      </c>
      <c r="M18" s="1057">
        <f t="shared" si="10"/>
        <v>0.13929862212387437</v>
      </c>
    </row>
    <row r="19" spans="2:13">
      <c r="B19" s="1065" t="s">
        <v>783</v>
      </c>
      <c r="C19" s="1084">
        <f t="shared" si="4"/>
        <v>0.92361169820112043</v>
      </c>
      <c r="D19" s="1085">
        <f t="shared" si="5"/>
        <v>7.6388301798879565E-2</v>
      </c>
      <c r="E19" s="1086">
        <f>SUM(C19:D19)</f>
        <v>1</v>
      </c>
      <c r="F19" s="1175">
        <f>I19/C19</f>
        <v>1.0509013924712571</v>
      </c>
      <c r="G19" s="1176">
        <f>J19/D19</f>
        <v>0.38455076976368752</v>
      </c>
      <c r="H19" s="1087"/>
      <c r="I19" s="1084">
        <f>I11/K11</f>
        <v>0.97062481974229986</v>
      </c>
      <c r="J19" s="1085">
        <f>J11/K11</f>
        <v>2.9375180257700011E-2</v>
      </c>
      <c r="K19" s="1086">
        <f>SUM(I19:J19)</f>
        <v>0.99999999999999989</v>
      </c>
      <c r="L19" s="1057">
        <f t="shared" si="9"/>
        <v>0.97062481974229986</v>
      </c>
      <c r="M19" s="1057">
        <f t="shared" si="10"/>
        <v>2.9375180257700011E-2</v>
      </c>
    </row>
    <row r="20" spans="2:13">
      <c r="E20" s="1088"/>
      <c r="F20" s="1089"/>
      <c r="G20" s="1089"/>
      <c r="I20" s="1057">
        <f>C19*F19</f>
        <v>0.97062481974229997</v>
      </c>
      <c r="J20" s="1057">
        <f>D19*G19</f>
        <v>2.9375180257700011E-2</v>
      </c>
    </row>
    <row r="22" spans="2:13" ht="18.75">
      <c r="B22" s="1090" t="s">
        <v>1738</v>
      </c>
    </row>
    <row r="23" spans="2:13">
      <c r="B23" s="1045" t="s">
        <v>411</v>
      </c>
      <c r="C23" s="1045" t="s">
        <v>1739</v>
      </c>
      <c r="D23" s="1045" t="s">
        <v>1740</v>
      </c>
      <c r="E23" s="1091" t="s">
        <v>463</v>
      </c>
      <c r="G23" s="1092"/>
      <c r="H23" s="1045" t="s">
        <v>1741</v>
      </c>
      <c r="I23" s="1045" t="s">
        <v>1742</v>
      </c>
      <c r="J23" s="1045" t="s">
        <v>1728</v>
      </c>
    </row>
    <row r="24" spans="2:13">
      <c r="B24" s="1093">
        <v>42314</v>
      </c>
      <c r="C24" s="1094">
        <v>5.7</v>
      </c>
      <c r="D24" s="1094">
        <v>4.1500000000000004</v>
      </c>
      <c r="E24" s="1057">
        <f>C24/D24-1</f>
        <v>0.37349397590361444</v>
      </c>
      <c r="G24" s="1095" t="s">
        <v>1739</v>
      </c>
      <c r="H24" s="1075">
        <f>AVERAGE(C24:C28)</f>
        <v>7.1920000000000002</v>
      </c>
      <c r="I24" s="1074">
        <v>847191731</v>
      </c>
      <c r="J24" s="1074">
        <f>H24*I24</f>
        <v>6093002929.3520002</v>
      </c>
    </row>
    <row r="25" spans="2:13">
      <c r="B25" s="1093">
        <v>42004</v>
      </c>
      <c r="C25" s="1094">
        <v>7.11</v>
      </c>
      <c r="D25" s="1094">
        <v>2.85</v>
      </c>
      <c r="E25" s="1057">
        <f t="shared" ref="E25:E28" si="12">C25/D25-1</f>
        <v>1.4947368421052634</v>
      </c>
      <c r="G25" s="1096" t="s">
        <v>1740</v>
      </c>
      <c r="H25" s="1062">
        <f>AVERAGE(D24:D28)</f>
        <v>3.9299999999999997</v>
      </c>
      <c r="I25" s="1097">
        <v>7388470</v>
      </c>
      <c r="J25" s="1097">
        <f>H25*I25</f>
        <v>29036687.099999998</v>
      </c>
    </row>
    <row r="26" spans="2:13">
      <c r="B26" s="1093">
        <v>41638</v>
      </c>
      <c r="C26" s="1094">
        <v>9.1</v>
      </c>
      <c r="D26" s="1094">
        <v>4</v>
      </c>
      <c r="E26" s="1057">
        <f t="shared" si="12"/>
        <v>1.2749999999999999</v>
      </c>
      <c r="G26" s="1095"/>
      <c r="H26" s="1070">
        <f>J26/I26</f>
        <v>7.1637976275230848</v>
      </c>
      <c r="I26" s="1074">
        <f>SUM(I24:I25)</f>
        <v>854580201</v>
      </c>
      <c r="J26" s="1074">
        <f>SUM(J24:J25)</f>
        <v>6122039616.4520006</v>
      </c>
    </row>
    <row r="27" spans="2:13">
      <c r="B27" s="1093">
        <v>41270</v>
      </c>
      <c r="C27" s="1094">
        <v>8.0500000000000007</v>
      </c>
      <c r="D27" s="1094">
        <v>4.95</v>
      </c>
      <c r="E27" s="1057">
        <f t="shared" si="12"/>
        <v>0.6262626262626263</v>
      </c>
    </row>
    <row r="28" spans="2:13">
      <c r="B28" s="1098">
        <v>40907</v>
      </c>
      <c r="C28" s="1099">
        <v>6</v>
      </c>
      <c r="D28" s="1099">
        <v>3.7</v>
      </c>
      <c r="E28" s="1082">
        <f t="shared" si="12"/>
        <v>0.62162162162162149</v>
      </c>
    </row>
    <row r="29" spans="2:13">
      <c r="B29" s="1100"/>
      <c r="E29" s="1057"/>
    </row>
    <row r="30" spans="2:13">
      <c r="F30" s="1037"/>
      <c r="G30" s="1037"/>
    </row>
    <row r="31" spans="2:13" ht="18.75">
      <c r="B31" s="1090" t="s">
        <v>1743</v>
      </c>
      <c r="F31" s="1037"/>
      <c r="G31" s="1037"/>
    </row>
    <row r="32" spans="2:13">
      <c r="B32" s="1101"/>
      <c r="C32" s="1091" t="s">
        <v>1744</v>
      </c>
      <c r="D32" s="1091" t="s">
        <v>1745</v>
      </c>
      <c r="E32" s="1091" t="s">
        <v>463</v>
      </c>
      <c r="G32" s="1101"/>
      <c r="H32" s="1045" t="s">
        <v>1741</v>
      </c>
      <c r="I32" s="1045" t="s">
        <v>1742</v>
      </c>
      <c r="J32" s="1045" t="s">
        <v>1728</v>
      </c>
    </row>
    <row r="33" spans="2:14">
      <c r="B33" s="1093">
        <v>42264</v>
      </c>
      <c r="C33" s="1094">
        <v>3.89</v>
      </c>
      <c r="D33" s="1094">
        <v>2.36</v>
      </c>
      <c r="E33" s="1057">
        <f>C33/D33-1</f>
        <v>0.64830508474576276</v>
      </c>
      <c r="G33" s="1102" t="s">
        <v>1744</v>
      </c>
      <c r="H33" s="1075">
        <f>AVERAGE(C33:C37)</f>
        <v>5.5120000000000005</v>
      </c>
      <c r="I33" s="1103">
        <v>531461479</v>
      </c>
      <c r="J33" s="1104">
        <f>H33*I33</f>
        <v>2929415672.2480001</v>
      </c>
    </row>
    <row r="34" spans="2:14">
      <c r="B34" s="1093">
        <v>41989</v>
      </c>
      <c r="C34" s="1094">
        <v>5.12</v>
      </c>
      <c r="D34" s="1094">
        <v>2.5</v>
      </c>
      <c r="E34" s="1057">
        <f>C34/D34-1</f>
        <v>1.048</v>
      </c>
      <c r="G34" s="1105" t="s">
        <v>1745</v>
      </c>
      <c r="H34" s="1062">
        <f>AVERAGE(D33:D37)</f>
        <v>3.7719999999999998</v>
      </c>
      <c r="I34" s="1106">
        <v>50503124</v>
      </c>
      <c r="J34" s="1059">
        <f>H34*I34</f>
        <v>190497783.72799999</v>
      </c>
    </row>
    <row r="35" spans="2:14">
      <c r="B35" s="1093">
        <v>41631</v>
      </c>
      <c r="C35" s="1094">
        <v>6.35</v>
      </c>
      <c r="D35" s="1094">
        <v>3.75</v>
      </c>
      <c r="E35" s="1057">
        <f>C35/D35-1</f>
        <v>0.69333333333333313</v>
      </c>
      <c r="H35" s="1070">
        <f>J35/I35</f>
        <v>5.3610020951325801</v>
      </c>
      <c r="I35" s="1103">
        <f>SUM(I33:I34)</f>
        <v>581964603</v>
      </c>
      <c r="J35" s="1103">
        <f>SUM(J33:J34)</f>
        <v>3119913455.9760003</v>
      </c>
    </row>
    <row r="36" spans="2:14">
      <c r="B36" s="1093">
        <v>41249</v>
      </c>
      <c r="C36" s="1094">
        <v>6.6</v>
      </c>
      <c r="D36" s="1094">
        <v>5.95</v>
      </c>
      <c r="E36" s="1057">
        <f>C36/D36-1</f>
        <v>0.10924369747899143</v>
      </c>
    </row>
    <row r="37" spans="2:14">
      <c r="B37" s="1098">
        <v>40906</v>
      </c>
      <c r="C37" s="1099">
        <v>5.6</v>
      </c>
      <c r="D37" s="1099">
        <v>4.3</v>
      </c>
      <c r="E37" s="1082">
        <f>C37/D37-1</f>
        <v>0.30232558139534871</v>
      </c>
    </row>
    <row r="38" spans="2:14">
      <c r="B38" s="1107"/>
      <c r="C38" s="1108"/>
      <c r="D38" s="1108"/>
      <c r="E38" s="1056"/>
    </row>
    <row r="39" spans="2:14">
      <c r="B39" s="1100"/>
      <c r="E39" s="1057"/>
    </row>
    <row r="40" spans="2:14" ht="18.75">
      <c r="B40" s="1090" t="s">
        <v>1746</v>
      </c>
    </row>
    <row r="41" spans="2:14">
      <c r="B41" s="1101"/>
      <c r="C41" s="1045" t="s">
        <v>1747</v>
      </c>
      <c r="D41" s="1045" t="s">
        <v>1748</v>
      </c>
      <c r="E41" s="1091" t="s">
        <v>463</v>
      </c>
      <c r="G41" s="1092"/>
      <c r="H41" s="1045" t="s">
        <v>1741</v>
      </c>
      <c r="I41" s="1045" t="s">
        <v>1742</v>
      </c>
      <c r="J41" s="1045" t="s">
        <v>1728</v>
      </c>
      <c r="K41" s="1109"/>
      <c r="L41" s="1109"/>
      <c r="M41" s="1100"/>
      <c r="N41" s="1037"/>
    </row>
    <row r="42" spans="2:14">
      <c r="B42" s="1093">
        <v>42299</v>
      </c>
      <c r="C42" s="1110">
        <v>7.85</v>
      </c>
      <c r="D42" s="1110">
        <v>0.64</v>
      </c>
      <c r="E42" s="1057">
        <f>C42/D42-1</f>
        <v>11.265625</v>
      </c>
      <c r="G42" s="1111" t="s">
        <v>1747</v>
      </c>
      <c r="H42" s="1075">
        <f>AVERAGE(C42:C45)</f>
        <v>8.6374999999999993</v>
      </c>
      <c r="I42" s="1112">
        <v>24863591</v>
      </c>
      <c r="J42" s="1104">
        <f>H42*I42</f>
        <v>214759267.26249999</v>
      </c>
      <c r="K42" s="1056"/>
      <c r="L42" s="1056"/>
      <c r="M42" s="1056"/>
      <c r="N42" s="1056"/>
    </row>
    <row r="43" spans="2:14">
      <c r="B43" s="1093">
        <v>41933</v>
      </c>
      <c r="C43" s="1110">
        <v>8.3000000000000007</v>
      </c>
      <c r="D43" s="1110">
        <v>0.7</v>
      </c>
      <c r="E43" s="1057">
        <f>C43/D43-1</f>
        <v>10.857142857142859</v>
      </c>
      <c r="G43" s="1096" t="s">
        <v>1748</v>
      </c>
      <c r="H43" s="1062">
        <f>AVERAGE(D42:D45)</f>
        <v>0.76</v>
      </c>
      <c r="I43" s="1113">
        <v>22059558</v>
      </c>
      <c r="J43" s="1059">
        <f>H43*I43</f>
        <v>16765264.08</v>
      </c>
      <c r="K43" s="1056"/>
      <c r="L43" s="1056"/>
      <c r="M43" s="1056"/>
      <c r="N43" s="1056"/>
    </row>
    <row r="44" spans="2:14">
      <c r="B44" s="1093">
        <v>41556</v>
      </c>
      <c r="C44" s="1110">
        <v>8.5</v>
      </c>
      <c r="D44" s="1110">
        <v>0.75</v>
      </c>
      <c r="E44" s="1057">
        <f>C44/D44-1</f>
        <v>10.333333333333334</v>
      </c>
      <c r="G44" s="1037"/>
      <c r="H44" s="1070">
        <f>J44/I44</f>
        <v>4.9341217773449095</v>
      </c>
      <c r="I44" s="1074">
        <f>SUM(I42:I43)</f>
        <v>46923149</v>
      </c>
      <c r="J44" s="1074">
        <f>SUM(J42:J43)</f>
        <v>231524531.3425</v>
      </c>
      <c r="K44" s="1056"/>
      <c r="L44" s="1056"/>
      <c r="M44" s="1037"/>
      <c r="N44" s="1037"/>
    </row>
    <row r="45" spans="2:14">
      <c r="B45" s="1098">
        <v>40982</v>
      </c>
      <c r="C45" s="1114">
        <v>9.9</v>
      </c>
      <c r="D45" s="1114">
        <v>0.95</v>
      </c>
      <c r="E45" s="1082">
        <f>C45/D45-1</f>
        <v>9.4210526315789487</v>
      </c>
      <c r="G45" s="1037"/>
      <c r="H45" s="1057">
        <f>H42/H43-1</f>
        <v>10.365131578947368</v>
      </c>
      <c r="K45" s="1037"/>
      <c r="L45" s="1037"/>
      <c r="M45" s="1037"/>
      <c r="N45" s="1037"/>
    </row>
    <row r="46" spans="2:14">
      <c r="E46" s="1056"/>
    </row>
    <row r="47" spans="2:14">
      <c r="K47" s="1037"/>
      <c r="L47" s="1037"/>
    </row>
    <row r="48" spans="2:14" ht="18.75">
      <c r="B48" s="1090" t="s">
        <v>1749</v>
      </c>
      <c r="K48" s="1037"/>
      <c r="L48" s="1037"/>
    </row>
    <row r="49" spans="2:12">
      <c r="B49" s="1045"/>
      <c r="C49" s="1045" t="s">
        <v>1750</v>
      </c>
      <c r="D49" s="1045" t="s">
        <v>1751</v>
      </c>
      <c r="E49" s="1091" t="s">
        <v>463</v>
      </c>
      <c r="G49" s="1101"/>
      <c r="H49" s="1045" t="s">
        <v>1741</v>
      </c>
      <c r="I49" s="1045" t="s">
        <v>1742</v>
      </c>
      <c r="J49" s="1045" t="s">
        <v>1728</v>
      </c>
      <c r="K49" s="1109"/>
      <c r="L49" s="1109"/>
    </row>
    <row r="50" spans="2:12">
      <c r="B50" s="1093">
        <v>42250</v>
      </c>
      <c r="C50" s="1110">
        <v>1.97</v>
      </c>
      <c r="D50" s="1110">
        <v>1.3</v>
      </c>
      <c r="E50" s="1057">
        <f>C50/D50-1</f>
        <v>0.51538461538461533</v>
      </c>
      <c r="G50" s="1115" t="s">
        <v>1750</v>
      </c>
      <c r="H50" s="1075">
        <f>AVERAGE(C50:C53)</f>
        <v>2.7925</v>
      </c>
      <c r="I50" s="1103">
        <v>1309748288</v>
      </c>
      <c r="J50" s="1104">
        <f>H50*I50</f>
        <v>3657472094.2399998</v>
      </c>
      <c r="K50" s="1056"/>
      <c r="L50" s="1056"/>
    </row>
    <row r="51" spans="2:12">
      <c r="B51" s="1093">
        <v>41978</v>
      </c>
      <c r="C51" s="1110">
        <v>2.41</v>
      </c>
      <c r="D51" s="1110">
        <v>1.67</v>
      </c>
      <c r="E51" s="1057">
        <f t="shared" ref="E51:E53" si="13">C51/D51-1</f>
        <v>0.44311377245508998</v>
      </c>
      <c r="G51" s="1096" t="s">
        <v>1751</v>
      </c>
      <c r="H51" s="1062">
        <f>AVERAGE(D50:D53)</f>
        <v>2.3274999999999997</v>
      </c>
      <c r="I51" s="1106">
        <v>21415462</v>
      </c>
      <c r="J51" s="1059">
        <f>H51*I51</f>
        <v>49844487.804999992</v>
      </c>
      <c r="K51" s="1056"/>
      <c r="L51" s="1056"/>
    </row>
    <row r="52" spans="2:12">
      <c r="B52" s="1093">
        <v>41634</v>
      </c>
      <c r="C52" s="1110">
        <v>2.14</v>
      </c>
      <c r="D52" s="1110">
        <v>1.84</v>
      </c>
      <c r="E52" s="1057">
        <f t="shared" si="13"/>
        <v>0.16304347826086962</v>
      </c>
      <c r="H52" s="1070">
        <f>J52/I52</f>
        <v>2.7850191849387422</v>
      </c>
      <c r="I52" s="1103">
        <f>SUM(I50:I51)</f>
        <v>1331163750</v>
      </c>
      <c r="J52" s="1103">
        <f>SUM(J50:J51)</f>
        <v>3707316582.0449996</v>
      </c>
      <c r="K52" s="1037"/>
      <c r="L52" s="1037"/>
    </row>
    <row r="53" spans="2:12">
      <c r="B53" s="1098">
        <v>41039</v>
      </c>
      <c r="C53" s="1114">
        <v>4.6500000000000004</v>
      </c>
      <c r="D53" s="1114">
        <v>4.5</v>
      </c>
      <c r="E53" s="1082">
        <f t="shared" si="13"/>
        <v>3.3333333333333437E-2</v>
      </c>
    </row>
    <row r="54" spans="2:12">
      <c r="B54" s="1093"/>
    </row>
    <row r="55" spans="2:12">
      <c r="H55" s="1109"/>
      <c r="I55" s="1109"/>
    </row>
    <row r="56" spans="2:12" ht="18.75">
      <c r="B56" s="1090" t="s">
        <v>1752</v>
      </c>
      <c r="K56" s="1037"/>
      <c r="L56" s="1037"/>
    </row>
    <row r="57" spans="2:12">
      <c r="B57" s="1045"/>
      <c r="C57" s="1045" t="s">
        <v>1753</v>
      </c>
      <c r="D57" s="1045" t="s">
        <v>1754</v>
      </c>
      <c r="E57" s="1091" t="s">
        <v>463</v>
      </c>
      <c r="G57" s="1101"/>
      <c r="H57" s="1045" t="s">
        <v>1741</v>
      </c>
      <c r="I57" s="1045" t="s">
        <v>1742</v>
      </c>
      <c r="J57" s="1045" t="s">
        <v>1728</v>
      </c>
      <c r="K57" s="1109"/>
      <c r="L57" s="1109"/>
    </row>
    <row r="58" spans="2:12">
      <c r="B58" s="1093">
        <v>42368</v>
      </c>
      <c r="C58" s="1110">
        <v>0.45</v>
      </c>
      <c r="D58" s="1110">
        <v>0.26900000000000002</v>
      </c>
      <c r="E58" s="1057">
        <f t="shared" ref="E58:E61" si="14">C58/D58-1</f>
        <v>0.67286245353159835</v>
      </c>
      <c r="G58" t="s">
        <v>1753</v>
      </c>
      <c r="H58" s="1075">
        <f>AVERAGE(C58:C61)</f>
        <v>0.84</v>
      </c>
      <c r="I58" s="1104">
        <v>941875171</v>
      </c>
      <c r="J58" s="1104">
        <f>H58*I58</f>
        <v>791175143.63999999</v>
      </c>
      <c r="K58" s="1056"/>
      <c r="L58" s="1056"/>
    </row>
    <row r="59" spans="2:12">
      <c r="B59" s="1093">
        <v>42004</v>
      </c>
      <c r="C59" s="1110">
        <v>0.77</v>
      </c>
      <c r="D59" s="1110">
        <v>0.53</v>
      </c>
      <c r="E59" s="1057">
        <f t="shared" si="14"/>
        <v>0.45283018867924518</v>
      </c>
      <c r="G59" s="1101" t="s">
        <v>1754</v>
      </c>
      <c r="H59" s="1062">
        <f>AVERAGE(D58:D61)</f>
        <v>0.63724999999999998</v>
      </c>
      <c r="I59" s="1059">
        <v>200935704</v>
      </c>
      <c r="J59" s="1059">
        <f>H59*I59</f>
        <v>128046277.374</v>
      </c>
      <c r="K59" s="1056"/>
      <c r="L59" s="1056"/>
    </row>
    <row r="60" spans="2:12">
      <c r="B60" s="1093">
        <v>41639</v>
      </c>
      <c r="C60" s="1110">
        <v>0.91</v>
      </c>
      <c r="D60" s="1110">
        <v>0.77</v>
      </c>
      <c r="E60" s="1057">
        <f t="shared" si="14"/>
        <v>0.18181818181818188</v>
      </c>
      <c r="H60" s="1075">
        <f>J60/I60</f>
        <v>0.80435130704719615</v>
      </c>
      <c r="I60" s="1104">
        <f>SUM(I58:I59)</f>
        <v>1142810875</v>
      </c>
      <c r="J60" s="1104">
        <f>SUM(J58:J59)</f>
        <v>919221421.01399994</v>
      </c>
      <c r="K60" s="1037"/>
      <c r="L60" s="1037"/>
    </row>
    <row r="61" spans="2:12">
      <c r="B61" s="1098">
        <v>41271</v>
      </c>
      <c r="C61" s="1114">
        <v>1.23</v>
      </c>
      <c r="D61" s="1114">
        <v>0.98</v>
      </c>
      <c r="E61" s="1082">
        <f t="shared" si="14"/>
        <v>0.25510204081632648</v>
      </c>
      <c r="K61" s="1037"/>
      <c r="L61" s="1037"/>
    </row>
    <row r="67" spans="4:5">
      <c r="D67" s="1104"/>
      <c r="E67" s="1104"/>
    </row>
  </sheetData>
  <mergeCells count="3">
    <mergeCell ref="C4:E4"/>
    <mergeCell ref="F4:H4"/>
    <mergeCell ref="I4:K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2:M36"/>
  <sheetViews>
    <sheetView topLeftCell="A4" zoomScale="90" zoomScaleNormal="90" workbookViewId="0">
      <selection activeCell="H28" sqref="H28"/>
    </sheetView>
  </sheetViews>
  <sheetFormatPr baseColWidth="10" defaultRowHeight="14.25"/>
  <cols>
    <col min="1" max="1" width="2.5703125" style="90" customWidth="1"/>
    <col min="2" max="2" width="23.7109375" style="660" customWidth="1"/>
    <col min="3" max="3" width="15" style="90" customWidth="1"/>
    <col min="4" max="8" width="11.85546875" style="90" bestFit="1" customWidth="1"/>
    <col min="9" max="11" width="11.42578125" style="90" customWidth="1"/>
    <col min="12" max="12" width="9.7109375" style="90" customWidth="1"/>
    <col min="13" max="14" width="11.42578125" style="90"/>
    <col min="15" max="15" width="16.28515625" style="90" bestFit="1" customWidth="1"/>
    <col min="16" max="16384" width="11.42578125" style="90"/>
  </cols>
  <sheetData>
    <row r="2" spans="2:13" ht="18">
      <c r="B2" s="657" t="s">
        <v>768</v>
      </c>
    </row>
    <row r="4" spans="2:13" ht="15">
      <c r="B4" s="658" t="s">
        <v>1717</v>
      </c>
      <c r="C4" s="659"/>
      <c r="D4" s="659"/>
      <c r="E4" s="659"/>
      <c r="F4" s="659"/>
      <c r="G4" s="659"/>
      <c r="H4" s="659"/>
      <c r="I4" s="659"/>
      <c r="J4" s="659"/>
      <c r="K4" s="659"/>
      <c r="L4" s="659"/>
      <c r="M4" s="473"/>
    </row>
    <row r="5" spans="2:13">
      <c r="B5" s="1769" t="s">
        <v>1718</v>
      </c>
      <c r="C5" s="1769"/>
      <c r="D5" s="1769"/>
      <c r="E5" s="1769"/>
      <c r="F5" s="1769"/>
      <c r="G5" s="1769"/>
      <c r="H5" s="1769"/>
      <c r="I5" s="1769"/>
      <c r="J5" s="1769"/>
      <c r="K5" s="1769"/>
      <c r="L5" s="473"/>
      <c r="M5" s="473"/>
    </row>
    <row r="6" spans="2:13">
      <c r="B6" s="1769"/>
      <c r="C6" s="1769"/>
      <c r="D6" s="1769"/>
      <c r="E6" s="1769"/>
      <c r="F6" s="1769"/>
      <c r="G6" s="1769"/>
      <c r="H6" s="1769"/>
      <c r="I6" s="1769"/>
      <c r="J6" s="1769"/>
      <c r="K6" s="1769"/>
      <c r="L6" s="473"/>
      <c r="M6" s="473"/>
    </row>
    <row r="7" spans="2:13" ht="15" customHeight="1">
      <c r="B7" s="660" t="s">
        <v>1808</v>
      </c>
      <c r="C7" s="661"/>
      <c r="D7" s="661"/>
      <c r="E7" s="661"/>
      <c r="F7" s="661"/>
      <c r="G7" s="661"/>
      <c r="H7" s="661"/>
      <c r="I7" s="661"/>
      <c r="J7" s="661"/>
      <c r="K7" s="661"/>
      <c r="L7" s="473"/>
      <c r="M7" s="473"/>
    </row>
    <row r="8" spans="2:13">
      <c r="B8" s="1769" t="s">
        <v>1725</v>
      </c>
      <c r="C8" s="1769"/>
      <c r="D8" s="1769"/>
      <c r="E8" s="1769"/>
      <c r="F8" s="1769"/>
      <c r="G8" s="1769"/>
      <c r="H8" s="1769"/>
      <c r="I8" s="1769"/>
      <c r="J8" s="1769"/>
      <c r="K8" s="1769"/>
      <c r="L8" s="662"/>
      <c r="M8" s="473"/>
    </row>
    <row r="9" spans="2:13">
      <c r="B9" s="1769"/>
      <c r="C9" s="1769"/>
      <c r="D9" s="1769"/>
      <c r="E9" s="1769"/>
      <c r="F9" s="1769"/>
      <c r="G9" s="1769"/>
      <c r="H9" s="1769"/>
      <c r="I9" s="1769"/>
      <c r="J9" s="1769"/>
      <c r="K9" s="1769"/>
      <c r="L9" s="662"/>
      <c r="M9" s="473"/>
    </row>
    <row r="10" spans="2:13" ht="15">
      <c r="B10" s="259" t="s">
        <v>1764</v>
      </c>
      <c r="C10" s="473"/>
      <c r="D10" s="473"/>
      <c r="E10" s="473"/>
      <c r="F10" s="663"/>
      <c r="G10" s="663"/>
      <c r="H10" s="663"/>
      <c r="I10" s="663"/>
      <c r="J10" s="663"/>
      <c r="K10" s="663"/>
      <c r="L10" s="664"/>
      <c r="M10" s="473"/>
    </row>
    <row r="11" spans="2:13">
      <c r="B11" s="1769" t="s">
        <v>1719</v>
      </c>
      <c r="C11" s="1769"/>
      <c r="D11" s="1769"/>
      <c r="E11" s="1769"/>
      <c r="F11" s="1769"/>
      <c r="G11" s="1769"/>
      <c r="H11" s="1769"/>
      <c r="I11" s="1769"/>
      <c r="J11" s="1769"/>
      <c r="K11" s="1769"/>
      <c r="L11" s="664"/>
      <c r="M11" s="473"/>
    </row>
    <row r="12" spans="2:13">
      <c r="B12" s="1769"/>
      <c r="C12" s="1769"/>
      <c r="D12" s="1769"/>
      <c r="E12" s="1769"/>
      <c r="F12" s="1769"/>
      <c r="G12" s="1769"/>
      <c r="H12" s="1769"/>
      <c r="I12" s="1769"/>
      <c r="J12" s="1769"/>
      <c r="K12" s="1769"/>
      <c r="L12" s="664"/>
      <c r="M12" s="473"/>
    </row>
    <row r="13" spans="2:13" ht="15">
      <c r="B13" s="473" t="s">
        <v>1724</v>
      </c>
      <c r="C13" s="1030"/>
      <c r="D13" s="1030"/>
      <c r="E13" s="1030"/>
      <c r="F13" s="1030"/>
      <c r="G13" s="1030"/>
      <c r="H13" s="1030"/>
      <c r="I13" s="1030"/>
      <c r="J13" s="1030"/>
      <c r="K13" s="1030"/>
      <c r="L13" s="664"/>
      <c r="M13" s="473"/>
    </row>
    <row r="14" spans="2:13" ht="15">
      <c r="B14" s="259" t="s">
        <v>1720</v>
      </c>
      <c r="C14" s="473"/>
      <c r="D14" s="473"/>
      <c r="E14" s="473"/>
      <c r="F14" s="473"/>
      <c r="G14" s="473"/>
      <c r="H14" s="473"/>
      <c r="I14" s="473"/>
      <c r="J14" s="473"/>
      <c r="K14" s="473"/>
      <c r="L14" s="473"/>
      <c r="M14" s="473"/>
    </row>
    <row r="15" spans="2:13">
      <c r="B15" s="473"/>
      <c r="C15" s="473"/>
      <c r="D15" s="473"/>
      <c r="E15" s="473"/>
      <c r="F15" s="664"/>
      <c r="G15" s="664"/>
      <c r="H15" s="664"/>
      <c r="I15" s="664"/>
      <c r="J15" s="664"/>
      <c r="K15" s="664"/>
      <c r="L15" s="473"/>
      <c r="M15" s="473"/>
    </row>
    <row r="16" spans="2:13" ht="16.5" thickBot="1">
      <c r="B16" s="665"/>
      <c r="C16" s="666"/>
      <c r="D16" s="667">
        <v>2016</v>
      </c>
      <c r="E16" s="667">
        <v>2017</v>
      </c>
      <c r="F16" s="667">
        <v>2018</v>
      </c>
      <c r="G16" s="667">
        <v>2019</v>
      </c>
      <c r="H16" s="667">
        <v>2020</v>
      </c>
      <c r="I16" s="473"/>
      <c r="J16" s="473"/>
    </row>
    <row r="17" spans="2:13" ht="16.5" thickTop="1">
      <c r="B17" s="658" t="s">
        <v>1380</v>
      </c>
      <c r="C17" s="668"/>
      <c r="D17" s="669">
        <v>3.3</v>
      </c>
      <c r="E17" s="187">
        <v>3.37</v>
      </c>
      <c r="F17" s="187">
        <v>3.38</v>
      </c>
      <c r="G17" s="187">
        <v>3.35</v>
      </c>
      <c r="H17" s="669">
        <v>3.3</v>
      </c>
      <c r="I17" s="473"/>
      <c r="J17" s="473"/>
    </row>
    <row r="18" spans="2:13" ht="15">
      <c r="B18" s="259" t="s">
        <v>331</v>
      </c>
      <c r="C18" s="473" t="s">
        <v>788</v>
      </c>
      <c r="D18" s="670">
        <f>'Proyeccion Venta'!J102/1000</f>
        <v>609962.92586699885</v>
      </c>
      <c r="E18" s="670">
        <f>'Proyeccion Venta'!K102/1000</f>
        <v>650806.68713112455</v>
      </c>
      <c r="F18" s="670">
        <f>'Proyeccion Venta'!L102/1000</f>
        <v>691946.11746225727</v>
      </c>
      <c r="G18" s="670">
        <f>'Proyeccion Venta'!M102/1000</f>
        <v>725099.28268508962</v>
      </c>
      <c r="H18" s="670">
        <f>'Proyeccion Venta'!N102/1000</f>
        <v>731352.01121193357</v>
      </c>
      <c r="I18" s="473"/>
      <c r="J18" s="473"/>
    </row>
    <row r="19" spans="2:13">
      <c r="C19" s="473" t="s">
        <v>789</v>
      </c>
      <c r="D19" s="670">
        <f>'Proyeccion Venta'!J103/1000</f>
        <v>107609.89886056645</v>
      </c>
      <c r="E19" s="670">
        <f>'Proyeccion Venta'!K103/1000</f>
        <v>121577.87300486298</v>
      </c>
      <c r="F19" s="670">
        <f>'Proyeccion Venta'!L103/1000</f>
        <v>136123.81862417579</v>
      </c>
      <c r="G19" s="670">
        <f>'Proyeccion Venta'!M103/1000</f>
        <v>153393.12967585964</v>
      </c>
      <c r="H19" s="670">
        <f>'Proyeccion Venta'!N103/1000</f>
        <v>171616.07102493249</v>
      </c>
      <c r="I19" s="473"/>
      <c r="J19" s="473"/>
    </row>
    <row r="20" spans="2:13">
      <c r="C20" s="473" t="s">
        <v>790</v>
      </c>
      <c r="D20" s="670">
        <f>'Proyeccion Venta'!J104/1000</f>
        <v>40792.09695072141</v>
      </c>
      <c r="E20" s="670">
        <f>'Proyeccion Venta'!K104/1000</f>
        <v>47877.248511952828</v>
      </c>
      <c r="F20" s="670">
        <f>'Proyeccion Venta'!L104/1000</f>
        <v>55026.849290632366</v>
      </c>
      <c r="G20" s="670">
        <f>'Proyeccion Venta'!M104/1000</f>
        <v>63325.79592137791</v>
      </c>
      <c r="H20" s="670">
        <f>'Proyeccion Venta'!N104/1000</f>
        <v>75441.178788907695</v>
      </c>
      <c r="I20" s="473"/>
      <c r="J20" s="473"/>
    </row>
    <row r="21" spans="2:13">
      <c r="C21" s="473" t="s">
        <v>791</v>
      </c>
      <c r="D21" s="670">
        <f>'Proyeccion Venta'!J105/1000</f>
        <v>48604.354021521154</v>
      </c>
      <c r="E21" s="670">
        <f>'Proyeccion Venta'!K105/1000</f>
        <v>50366.287509202062</v>
      </c>
      <c r="F21" s="670">
        <f>'Proyeccion Venta'!L105/1000</f>
        <v>52090.279372141238</v>
      </c>
      <c r="G21" s="670">
        <f>'Proyeccion Venta'!M105/1000</f>
        <v>53950.810357279253</v>
      </c>
      <c r="H21" s="670">
        <f>'Proyeccion Venta'!N105/1000</f>
        <v>56274.500805110583</v>
      </c>
      <c r="I21" s="473"/>
      <c r="J21" s="473"/>
    </row>
    <row r="22" spans="2:13" ht="15">
      <c r="B22" s="259" t="s">
        <v>747</v>
      </c>
      <c r="C22" s="473"/>
      <c r="D22" s="175">
        <f>'Flujo de Caja'!F49</f>
        <v>0.64</v>
      </c>
      <c r="E22" s="175">
        <f>D22</f>
        <v>0.64</v>
      </c>
      <c r="F22" s="175">
        <f t="shared" ref="F22:G22" si="0">E22</f>
        <v>0.64</v>
      </c>
      <c r="G22" s="175">
        <f t="shared" si="0"/>
        <v>0.64</v>
      </c>
      <c r="H22" s="175">
        <v>0.64</v>
      </c>
      <c r="I22" s="473"/>
      <c r="J22" s="473"/>
    </row>
    <row r="23" spans="2:13" ht="15">
      <c r="B23" s="259" t="s">
        <v>748</v>
      </c>
      <c r="C23" s="473"/>
      <c r="D23" s="1137">
        <v>0.04</v>
      </c>
      <c r="E23" s="175">
        <f t="shared" ref="E23:G23" si="1">D23</f>
        <v>0.04</v>
      </c>
      <c r="F23" s="175">
        <f t="shared" si="1"/>
        <v>0.04</v>
      </c>
      <c r="G23" s="175">
        <f t="shared" si="1"/>
        <v>0.04</v>
      </c>
      <c r="H23" s="175">
        <f>G23</f>
        <v>0.04</v>
      </c>
      <c r="I23" s="473"/>
      <c r="J23" s="473"/>
    </row>
    <row r="24" spans="2:13" ht="15">
      <c r="B24" s="259" t="s">
        <v>749</v>
      </c>
      <c r="C24" s="473"/>
      <c r="D24" s="662">
        <v>0.19</v>
      </c>
      <c r="E24" s="175">
        <f t="shared" ref="E24:G24" si="2">D24</f>
        <v>0.19</v>
      </c>
      <c r="F24" s="175">
        <f t="shared" si="2"/>
        <v>0.19</v>
      </c>
      <c r="G24" s="175">
        <f t="shared" si="2"/>
        <v>0.19</v>
      </c>
      <c r="H24" s="175">
        <f>G24</f>
        <v>0.19</v>
      </c>
      <c r="I24" s="473"/>
      <c r="J24" s="473"/>
    </row>
    <row r="25" spans="2:13" ht="15">
      <c r="B25" s="259" t="s">
        <v>750</v>
      </c>
      <c r="C25" s="473"/>
      <c r="D25" s="662">
        <v>0.28000000000000003</v>
      </c>
      <c r="E25" s="662">
        <v>0.27</v>
      </c>
      <c r="F25" s="662">
        <v>0.27</v>
      </c>
      <c r="G25" s="662">
        <v>0.26</v>
      </c>
      <c r="H25" s="662">
        <v>0.26</v>
      </c>
      <c r="I25" s="473"/>
      <c r="J25" s="473"/>
    </row>
    <row r="26" spans="2:13" ht="15">
      <c r="B26" s="259" t="s">
        <v>751</v>
      </c>
      <c r="C26" s="670">
        <f>Depreciacion!AJ36</f>
        <v>623974.780058651</v>
      </c>
      <c r="D26" s="670">
        <f>C26+D28</f>
        <v>693974.780058651</v>
      </c>
      <c r="E26" s="670">
        <f t="shared" ref="E26:G26" si="3">D26+E28</f>
        <v>763974.780058651</v>
      </c>
      <c r="F26" s="670">
        <f t="shared" si="3"/>
        <v>833974.780058651</v>
      </c>
      <c r="G26" s="670">
        <f t="shared" si="3"/>
        <v>903974.780058651</v>
      </c>
      <c r="H26" s="670">
        <f>G26+H28</f>
        <v>933974.780058651</v>
      </c>
      <c r="I26" s="473"/>
      <c r="J26" s="473"/>
    </row>
    <row r="27" spans="2:13" ht="15">
      <c r="B27" s="259" t="s">
        <v>752</v>
      </c>
      <c r="C27" s="473"/>
      <c r="D27" s="662">
        <v>0.05</v>
      </c>
      <c r="E27" s="662">
        <v>0.05</v>
      </c>
      <c r="F27" s="662">
        <v>0.05</v>
      </c>
      <c r="G27" s="662">
        <v>0.05</v>
      </c>
      <c r="H27" s="662">
        <v>0.05</v>
      </c>
      <c r="I27" s="671"/>
      <c r="J27" s="473"/>
    </row>
    <row r="28" spans="2:13" ht="15">
      <c r="B28" s="259" t="s">
        <v>1400</v>
      </c>
      <c r="C28" s="473"/>
      <c r="D28" s="670">
        <v>70000</v>
      </c>
      <c r="E28" s="670">
        <f t="shared" ref="E28:G28" si="4">D28</f>
        <v>70000</v>
      </c>
      <c r="F28" s="670">
        <f t="shared" si="4"/>
        <v>70000</v>
      </c>
      <c r="G28" s="670">
        <f t="shared" si="4"/>
        <v>70000</v>
      </c>
      <c r="H28" s="670">
        <v>30000</v>
      </c>
      <c r="I28" s="473"/>
      <c r="J28" s="473"/>
    </row>
    <row r="29" spans="2:13" ht="15.75" thickBot="1">
      <c r="B29" s="672" t="s">
        <v>753</v>
      </c>
      <c r="C29" s="162"/>
      <c r="D29" s="673">
        <f>CapitalTrabajo!N41</f>
        <v>21967.314447528886</v>
      </c>
      <c r="E29" s="673">
        <f>CapitalTrabajo!O41</f>
        <v>10513.771110105939</v>
      </c>
      <c r="F29" s="673">
        <f>CapitalTrabajo!P41</f>
        <v>-10341.885652204539</v>
      </c>
      <c r="G29" s="673">
        <f>CapitalTrabajo!Q41</f>
        <v>14272.395234657801</v>
      </c>
      <c r="H29" s="673">
        <f>CapitalTrabajo!R41</f>
        <v>2078.3022016225732</v>
      </c>
      <c r="I29" s="473"/>
      <c r="J29" s="473"/>
    </row>
    <row r="30" spans="2:13" ht="15" thickTop="1">
      <c r="C30" s="473"/>
      <c r="D30" s="664"/>
      <c r="E30" s="473"/>
      <c r="F30" s="473"/>
      <c r="G30" s="473"/>
      <c r="H30" s="473"/>
      <c r="I30" s="473"/>
      <c r="J30" s="473"/>
      <c r="K30" s="473"/>
      <c r="L30" s="473"/>
      <c r="M30" s="473"/>
    </row>
    <row r="31" spans="2:13" ht="15">
      <c r="B31" s="259"/>
      <c r="C31" s="473"/>
      <c r="D31" s="671"/>
      <c r="E31" s="473"/>
      <c r="F31" s="473"/>
      <c r="G31" s="473"/>
      <c r="H31" s="473"/>
      <c r="I31" s="473"/>
      <c r="J31" s="473"/>
      <c r="K31" s="473"/>
      <c r="L31" s="473"/>
      <c r="M31" s="473"/>
    </row>
    <row r="32" spans="2:13" ht="15">
      <c r="B32" s="259"/>
      <c r="C32" s="473"/>
      <c r="D32" s="175"/>
      <c r="E32" s="473"/>
      <c r="F32" s="473"/>
      <c r="G32" s="473"/>
      <c r="H32" s="473"/>
      <c r="I32" s="473"/>
      <c r="J32" s="473"/>
      <c r="K32" s="473"/>
      <c r="L32" s="473"/>
      <c r="M32" s="473"/>
    </row>
    <row r="33" spans="2:13">
      <c r="B33" s="207"/>
      <c r="C33" s="473"/>
      <c r="D33" s="1443"/>
      <c r="E33" s="1443"/>
      <c r="F33" s="1443"/>
      <c r="G33" s="1443"/>
      <c r="H33" s="1443"/>
      <c r="I33" s="473"/>
      <c r="J33" s="473"/>
      <c r="K33" s="473"/>
      <c r="L33" s="473"/>
      <c r="M33" s="473"/>
    </row>
    <row r="34" spans="2:13">
      <c r="B34" s="207"/>
      <c r="C34" s="473"/>
      <c r="D34" s="473"/>
      <c r="E34" s="473"/>
      <c r="F34" s="473"/>
      <c r="G34" s="473"/>
      <c r="H34" s="671"/>
      <c r="I34" s="473"/>
      <c r="J34" s="473"/>
      <c r="K34" s="473"/>
      <c r="L34" s="473"/>
      <c r="M34" s="473"/>
    </row>
    <row r="35" spans="2:13">
      <c r="B35" s="207"/>
      <c r="C35" s="473"/>
      <c r="D35" s="473"/>
      <c r="E35" s="473"/>
      <c r="F35" s="473"/>
      <c r="G35" s="473"/>
      <c r="H35" s="473"/>
      <c r="I35" s="473"/>
      <c r="J35" s="473"/>
      <c r="K35" s="473"/>
      <c r="L35" s="473"/>
      <c r="M35" s="473"/>
    </row>
    <row r="36" spans="2:13">
      <c r="B36" s="207"/>
      <c r="C36" s="473"/>
      <c r="D36" s="473"/>
      <c r="E36" s="473"/>
      <c r="M36" s="473"/>
    </row>
  </sheetData>
  <mergeCells count="3">
    <mergeCell ref="B8:K9"/>
    <mergeCell ref="B5:K6"/>
    <mergeCell ref="B11:K1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2:H24"/>
  <sheetViews>
    <sheetView showGridLines="0" workbookViewId="0">
      <selection activeCell="C3" sqref="C3"/>
    </sheetView>
  </sheetViews>
  <sheetFormatPr baseColWidth="10" defaultRowHeight="15"/>
  <cols>
    <col min="1" max="1" width="4.85546875" customWidth="1"/>
    <col min="2" max="2" width="26.7109375" bestFit="1" customWidth="1"/>
    <col min="3" max="3" width="11.85546875" bestFit="1" customWidth="1"/>
    <col min="7" max="7" width="15.85546875" bestFit="1" customWidth="1"/>
  </cols>
  <sheetData>
    <row r="2" spans="2:8">
      <c r="B2" s="1770" t="s">
        <v>1804</v>
      </c>
      <c r="C2" s="1771"/>
      <c r="D2" s="1037"/>
    </row>
    <row r="3" spans="2:8">
      <c r="B3" s="1424" t="s">
        <v>1803</v>
      </c>
      <c r="C3" s="1534">
        <v>2.6790657832057394E-2</v>
      </c>
      <c r="D3" s="1037"/>
      <c r="E3" s="1037"/>
      <c r="F3" s="1037"/>
      <c r="G3" s="1037"/>
      <c r="H3" s="1037"/>
    </row>
    <row r="4" spans="2:8">
      <c r="B4" s="174" t="s">
        <v>764</v>
      </c>
      <c r="C4" s="1425">
        <f>'Flujo de Caja'!I24</f>
        <v>1792267.9765574245</v>
      </c>
      <c r="D4" s="1037"/>
      <c r="E4" s="473"/>
      <c r="F4" s="473"/>
      <c r="G4" s="1384"/>
      <c r="H4" s="1037"/>
    </row>
    <row r="5" spans="2:8">
      <c r="B5" s="421" t="s">
        <v>1698</v>
      </c>
      <c r="C5" s="1425">
        <f>'Flujo de Caja'!I23</f>
        <v>114157.01468944107</v>
      </c>
      <c r="D5" s="1037"/>
      <c r="E5" s="473"/>
      <c r="F5" s="473"/>
      <c r="G5" s="1384"/>
      <c r="H5" s="1037"/>
    </row>
    <row r="6" spans="2:8">
      <c r="B6" s="421" t="s">
        <v>694</v>
      </c>
      <c r="C6" s="1425">
        <f>'Flujo de Caja'!I16+'Flujo de Caja'!I20</f>
        <v>181207.62804094754</v>
      </c>
      <c r="D6" s="1446"/>
      <c r="E6" s="1443"/>
      <c r="F6" s="473"/>
      <c r="G6" s="1384"/>
      <c r="H6" s="1037"/>
    </row>
    <row r="7" spans="2:8">
      <c r="B7" s="1040"/>
      <c r="C7" s="1410"/>
      <c r="D7" s="1040"/>
      <c r="E7" s="473"/>
      <c r="F7" s="473"/>
      <c r="G7" s="1384"/>
      <c r="H7" s="1037"/>
    </row>
    <row r="8" spans="2:8">
      <c r="B8" s="1040"/>
      <c r="C8" s="1410"/>
      <c r="D8" s="1040"/>
      <c r="E8" s="1037"/>
      <c r="F8" s="1037"/>
      <c r="G8" s="1385"/>
      <c r="H8" s="1037"/>
    </row>
    <row r="9" spans="2:8">
      <c r="B9" s="421" t="s">
        <v>1802</v>
      </c>
      <c r="C9" s="1426">
        <f>(C4+C5)/C6</f>
        <v>10.520666330978463</v>
      </c>
      <c r="D9" s="1447"/>
      <c r="E9" s="1037"/>
      <c r="F9" s="1037"/>
      <c r="G9" s="1362"/>
      <c r="H9" s="1037"/>
    </row>
    <row r="10" spans="2:8">
      <c r="B10" s="534" t="s">
        <v>1805</v>
      </c>
      <c r="C10" s="1427">
        <f>Multiplos!E24</f>
        <v>10.516999</v>
      </c>
    </row>
    <row r="11" spans="2:8">
      <c r="C11" s="1383">
        <f>C9-C10</f>
        <v>3.6673309784625019E-3</v>
      </c>
    </row>
    <row r="15" spans="2:8">
      <c r="B15" s="1037"/>
      <c r="C15" s="1037"/>
      <c r="D15" s="1037"/>
      <c r="E15" s="1037"/>
    </row>
    <row r="16" spans="2:8">
      <c r="B16" s="1386"/>
      <c r="C16" s="1386"/>
      <c r="D16" s="1387"/>
      <c r="E16" s="1386"/>
    </row>
    <row r="17" spans="2:7">
      <c r="B17" s="1388"/>
      <c r="C17" s="1388"/>
      <c r="D17" s="1389"/>
      <c r="E17" s="1390"/>
      <c r="F17" s="1057"/>
      <c r="G17" s="1075"/>
    </row>
    <row r="18" spans="2:7">
      <c r="B18" s="1388"/>
      <c r="C18" s="1388"/>
      <c r="D18" s="1389"/>
      <c r="E18" s="1390"/>
      <c r="F18" s="1057"/>
      <c r="G18" s="1075"/>
    </row>
    <row r="19" spans="2:7">
      <c r="B19" s="1388"/>
      <c r="C19" s="1388"/>
      <c r="D19" s="1389"/>
      <c r="E19" s="1390"/>
      <c r="F19" s="1057"/>
      <c r="G19" s="1075"/>
    </row>
    <row r="20" spans="2:7">
      <c r="B20" s="1388"/>
      <c r="C20" s="1388"/>
      <c r="D20" s="1389"/>
      <c r="E20" s="1390"/>
      <c r="F20" s="1057"/>
      <c r="G20" s="1075"/>
    </row>
    <row r="21" spans="2:7">
      <c r="B21" s="1388"/>
      <c r="C21" s="1388"/>
      <c r="D21" s="1389"/>
      <c r="E21" s="1390"/>
      <c r="F21" s="1057"/>
      <c r="G21" s="1075"/>
    </row>
    <row r="22" spans="2:7">
      <c r="B22" s="1388"/>
      <c r="C22" s="1388"/>
      <c r="D22" s="1389"/>
      <c r="E22" s="1390"/>
      <c r="F22" s="1057"/>
      <c r="G22" s="1075"/>
    </row>
    <row r="23" spans="2:7">
      <c r="B23" s="1037"/>
      <c r="C23" s="1037"/>
      <c r="D23" s="1391"/>
      <c r="E23" s="1392"/>
      <c r="G23" s="1075"/>
    </row>
    <row r="24" spans="2:7">
      <c r="B24" s="1037"/>
      <c r="C24" s="1037"/>
      <c r="D24" s="1037"/>
      <c r="E24" s="1037"/>
    </row>
  </sheetData>
  <mergeCells count="1">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K47"/>
  <sheetViews>
    <sheetView showGridLines="0" zoomScale="90" zoomScaleNormal="90" workbookViewId="0">
      <pane ySplit="4" topLeftCell="A26" activePane="bottomLeft" state="frozen"/>
      <selection pane="bottomLeft" activeCell="E40" sqref="E40"/>
    </sheetView>
  </sheetViews>
  <sheetFormatPr baseColWidth="10" defaultRowHeight="14.25"/>
  <cols>
    <col min="1" max="1" width="4.140625" style="155" customWidth="1"/>
    <col min="2" max="3" width="15.140625" style="155" customWidth="1"/>
    <col min="4" max="4" width="16.140625" style="155" customWidth="1"/>
    <col min="5" max="5" width="10.140625" style="155" customWidth="1"/>
    <col min="6" max="6" width="16.140625" style="155" customWidth="1"/>
    <col min="7" max="8" width="10.5703125" style="155" customWidth="1"/>
    <col min="9" max="11" width="10.140625" style="155" customWidth="1"/>
    <col min="12" max="16384" width="11.42578125" style="155"/>
  </cols>
  <sheetData>
    <row r="3" spans="2:11" ht="23.25">
      <c r="B3" s="160" t="s">
        <v>877</v>
      </c>
      <c r="C3" s="90"/>
      <c r="D3" s="90"/>
      <c r="E3" s="90"/>
      <c r="F3" s="90"/>
      <c r="G3" s="90"/>
      <c r="H3" s="90"/>
      <c r="I3" s="90"/>
      <c r="J3" s="90"/>
      <c r="K3" s="90"/>
    </row>
    <row r="4" spans="2:11" ht="18.75" thickBot="1">
      <c r="B4" s="161" t="s">
        <v>878</v>
      </c>
      <c r="C4" s="162"/>
      <c r="D4" s="162"/>
      <c r="E4" s="162"/>
      <c r="F4" s="162"/>
      <c r="G4" s="162"/>
      <c r="H4" s="162"/>
      <c r="I4" s="162"/>
      <c r="J4" s="162"/>
      <c r="K4" s="162"/>
    </row>
    <row r="5" spans="2:11" ht="15.75" thickTop="1">
      <c r="B5" s="163" t="s">
        <v>879</v>
      </c>
      <c r="C5" s="90"/>
      <c r="D5" s="164">
        <v>10535</v>
      </c>
      <c r="E5" s="90"/>
      <c r="F5" s="90"/>
      <c r="G5" s="90"/>
      <c r="H5" s="90"/>
      <c r="I5" s="90"/>
      <c r="J5" s="90"/>
      <c r="K5" s="90"/>
    </row>
    <row r="6" spans="2:11" ht="15">
      <c r="B6" s="163" t="s">
        <v>880</v>
      </c>
      <c r="C6" s="90"/>
      <c r="D6" s="90" t="s">
        <v>881</v>
      </c>
      <c r="E6" s="90"/>
      <c r="F6" s="90"/>
      <c r="G6" s="90"/>
      <c r="H6" s="90"/>
      <c r="I6" s="90"/>
      <c r="J6" s="90"/>
      <c r="K6" s="90"/>
    </row>
    <row r="7" spans="2:11" ht="15">
      <c r="B7" s="163" t="s">
        <v>882</v>
      </c>
      <c r="C7" s="90"/>
      <c r="D7" s="90" t="s">
        <v>883</v>
      </c>
      <c r="E7" s="90"/>
      <c r="F7" s="90"/>
      <c r="G7" s="90"/>
      <c r="H7" s="90"/>
      <c r="I7" s="90"/>
      <c r="J7" s="90"/>
      <c r="K7" s="90"/>
    </row>
    <row r="8" spans="2:11" ht="15">
      <c r="B8" s="163" t="s">
        <v>884</v>
      </c>
      <c r="C8" s="90"/>
      <c r="D8" s="90" t="s">
        <v>885</v>
      </c>
      <c r="E8" s="90"/>
      <c r="F8" s="90"/>
      <c r="G8" s="90"/>
      <c r="H8" s="90"/>
      <c r="I8" s="90"/>
      <c r="J8" s="90"/>
      <c r="K8" s="90"/>
    </row>
    <row r="9" spans="2:11" ht="15">
      <c r="B9" s="163" t="s">
        <v>886</v>
      </c>
      <c r="C9" s="90"/>
      <c r="D9" s="1612" t="s">
        <v>887</v>
      </c>
      <c r="E9" s="1612"/>
      <c r="F9" s="1612"/>
      <c r="G9" s="1612"/>
      <c r="H9" s="1612"/>
      <c r="I9" s="1612"/>
      <c r="J9" s="1612"/>
      <c r="K9" s="1612"/>
    </row>
    <row r="10" spans="2:11" ht="15">
      <c r="B10" s="163"/>
      <c r="C10" s="90"/>
      <c r="D10" s="1612"/>
      <c r="E10" s="1612"/>
      <c r="F10" s="1612"/>
      <c r="G10" s="1612"/>
      <c r="H10" s="1612"/>
      <c r="I10" s="1612"/>
      <c r="J10" s="1612"/>
      <c r="K10" s="1612"/>
    </row>
    <row r="11" spans="2:11" ht="15">
      <c r="B11" s="163"/>
      <c r="C11" s="90"/>
      <c r="D11" s="1612"/>
      <c r="E11" s="1612"/>
      <c r="F11" s="1612"/>
      <c r="G11" s="1612"/>
      <c r="H11" s="1612"/>
      <c r="I11" s="1612"/>
      <c r="J11" s="1612"/>
      <c r="K11" s="1612"/>
    </row>
    <row r="12" spans="2:11" ht="15">
      <c r="B12" s="163" t="s">
        <v>888</v>
      </c>
      <c r="C12" s="90"/>
      <c r="D12" s="1612" t="s">
        <v>1374</v>
      </c>
      <c r="E12" s="1612"/>
      <c r="F12" s="1612"/>
      <c r="G12" s="1612"/>
      <c r="H12" s="1612"/>
      <c r="I12" s="1612"/>
      <c r="J12" s="1612"/>
      <c r="K12" s="1612"/>
    </row>
    <row r="13" spans="2:11" ht="15">
      <c r="B13" s="163"/>
      <c r="C13" s="90"/>
      <c r="D13" s="1612"/>
      <c r="E13" s="1612"/>
      <c r="F13" s="1612"/>
      <c r="G13" s="1612"/>
      <c r="H13" s="1612"/>
      <c r="I13" s="1612"/>
      <c r="J13" s="1612"/>
      <c r="K13" s="1612"/>
    </row>
    <row r="14" spans="2:11" ht="15">
      <c r="B14" s="163"/>
      <c r="C14" s="90"/>
      <c r="D14" s="1612"/>
      <c r="E14" s="1612"/>
      <c r="F14" s="1612"/>
      <c r="G14" s="1612"/>
      <c r="H14" s="1612"/>
      <c r="I14" s="1612"/>
      <c r="J14" s="1612"/>
      <c r="K14" s="1612"/>
    </row>
    <row r="15" spans="2:11" ht="15.75">
      <c r="B15" s="163" t="s">
        <v>889</v>
      </c>
      <c r="C15" s="90"/>
      <c r="D15" s="165" t="s">
        <v>890</v>
      </c>
      <c r="E15" s="90"/>
      <c r="F15" s="90"/>
      <c r="G15" s="90"/>
      <c r="H15" s="90"/>
      <c r="I15" s="90"/>
      <c r="J15" s="90"/>
      <c r="K15" s="90"/>
    </row>
    <row r="16" spans="2:11" ht="15">
      <c r="B16" s="163" t="s">
        <v>891</v>
      </c>
      <c r="C16" s="90"/>
      <c r="D16" s="90" t="s">
        <v>892</v>
      </c>
      <c r="E16" s="90"/>
      <c r="F16" s="166" t="s">
        <v>893</v>
      </c>
      <c r="G16" s="90"/>
      <c r="H16" s="90"/>
      <c r="I16" s="90"/>
      <c r="J16" s="90"/>
      <c r="K16" s="90"/>
    </row>
    <row r="17" spans="2:11" ht="15">
      <c r="B17" s="163"/>
      <c r="C17" s="90"/>
      <c r="D17" s="90" t="s">
        <v>894</v>
      </c>
      <c r="E17" s="90"/>
      <c r="F17" s="166" t="s">
        <v>895</v>
      </c>
      <c r="G17" s="90"/>
      <c r="H17" s="90"/>
      <c r="I17" s="90"/>
      <c r="J17" s="90"/>
      <c r="K17" s="90"/>
    </row>
    <row r="18" spans="2:11" ht="15">
      <c r="B18" s="163"/>
      <c r="C18" s="90"/>
      <c r="D18" s="90" t="s">
        <v>329</v>
      </c>
      <c r="E18" s="90"/>
      <c r="F18" s="166" t="s">
        <v>896</v>
      </c>
      <c r="G18" s="90"/>
      <c r="H18" s="90"/>
      <c r="I18" s="90"/>
      <c r="J18" s="90"/>
      <c r="K18" s="90"/>
    </row>
    <row r="19" spans="2:11" ht="15">
      <c r="B19" s="163" t="s">
        <v>897</v>
      </c>
      <c r="C19" s="90"/>
      <c r="D19" s="90" t="s">
        <v>2</v>
      </c>
      <c r="E19" s="90"/>
      <c r="F19" s="590">
        <f>+Ke!C5</f>
        <v>580981459</v>
      </c>
      <c r="G19" s="90"/>
      <c r="H19" s="90"/>
      <c r="I19" s="90"/>
      <c r="J19" s="90"/>
      <c r="K19" s="90"/>
    </row>
    <row r="20" spans="2:11" ht="15">
      <c r="B20" s="163"/>
      <c r="C20" s="90"/>
      <c r="D20" s="90" t="s">
        <v>4</v>
      </c>
      <c r="E20" s="90"/>
      <c r="F20" s="167">
        <f>+Ke!C6</f>
        <v>71965514</v>
      </c>
      <c r="G20" s="90" t="s">
        <v>898</v>
      </c>
      <c r="H20" s="90"/>
      <c r="I20" s="90"/>
      <c r="J20" s="90"/>
      <c r="K20" s="90"/>
    </row>
    <row r="21" spans="2:11" ht="15">
      <c r="B21" s="163"/>
      <c r="C21" s="90"/>
      <c r="D21" s="90" t="s">
        <v>841</v>
      </c>
      <c r="E21" s="90"/>
      <c r="F21" s="590">
        <f>+Ke!C7</f>
        <v>652946973</v>
      </c>
      <c r="G21" s="90"/>
      <c r="H21" s="90"/>
      <c r="I21" s="90"/>
      <c r="J21" s="90"/>
      <c r="K21" s="90"/>
    </row>
    <row r="22" spans="2:11" ht="15">
      <c r="B22" s="163" t="s">
        <v>900</v>
      </c>
      <c r="C22" s="90"/>
      <c r="D22" s="168">
        <f>+Ke!E7</f>
        <v>777091964.51499438</v>
      </c>
      <c r="E22" s="169"/>
      <c r="F22" s="169"/>
      <c r="G22" s="169"/>
      <c r="H22" s="169"/>
      <c r="I22" s="169"/>
      <c r="J22" s="169"/>
      <c r="K22" s="169"/>
    </row>
    <row r="23" spans="2:11" ht="5.25" customHeight="1">
      <c r="B23" s="163"/>
      <c r="C23" s="90"/>
      <c r="D23" s="168"/>
      <c r="E23" s="169"/>
      <c r="F23" s="169"/>
      <c r="G23" s="169"/>
      <c r="H23" s="169"/>
      <c r="I23" s="169"/>
      <c r="J23" s="169"/>
      <c r="K23" s="169"/>
    </row>
    <row r="24" spans="2:11" ht="15">
      <c r="B24" s="163" t="s">
        <v>899</v>
      </c>
      <c r="C24" s="90"/>
      <c r="D24" s="1270">
        <v>2009</v>
      </c>
      <c r="E24" s="1271">
        <v>2010</v>
      </c>
      <c r="F24" s="1271">
        <v>2011</v>
      </c>
      <c r="G24" s="1271">
        <v>2012</v>
      </c>
      <c r="H24" s="1271">
        <v>2013</v>
      </c>
      <c r="I24" s="1271">
        <v>2014</v>
      </c>
      <c r="J24" s="1272">
        <v>2015</v>
      </c>
      <c r="K24" s="90"/>
    </row>
    <row r="25" spans="2:11">
      <c r="B25" s="90"/>
      <c r="C25" s="90"/>
      <c r="D25" s="170">
        <v>0</v>
      </c>
      <c r="E25" s="171">
        <v>0</v>
      </c>
      <c r="F25" s="171">
        <v>0</v>
      </c>
      <c r="G25" s="171">
        <v>0</v>
      </c>
      <c r="H25" s="172">
        <f>0.08/BG!M3</f>
        <v>2.8612303290414882E-2</v>
      </c>
      <c r="I25" s="171">
        <v>0</v>
      </c>
      <c r="J25" s="173">
        <v>0</v>
      </c>
      <c r="K25" s="90"/>
    </row>
    <row r="26" spans="2:11">
      <c r="B26" s="90"/>
      <c r="C26" s="90"/>
      <c r="D26" s="90"/>
      <c r="E26" s="90"/>
      <c r="F26" s="90"/>
      <c r="G26" s="90"/>
      <c r="H26" s="90"/>
      <c r="I26" s="90"/>
      <c r="J26" s="90"/>
      <c r="K26" s="90"/>
    </row>
    <row r="27" spans="2:11" ht="15">
      <c r="B27" s="163" t="s">
        <v>901</v>
      </c>
      <c r="C27" s="90"/>
      <c r="D27" s="1267"/>
      <c r="E27" s="1268" t="s">
        <v>691</v>
      </c>
      <c r="F27" s="1268" t="s">
        <v>690</v>
      </c>
      <c r="G27" s="1268" t="s">
        <v>689</v>
      </c>
      <c r="H27" s="1268" t="s">
        <v>688</v>
      </c>
      <c r="I27" s="1268" t="s">
        <v>687</v>
      </c>
      <c r="J27" s="1268" t="s">
        <v>686</v>
      </c>
      <c r="K27" s="1269" t="s">
        <v>685</v>
      </c>
    </row>
    <row r="28" spans="2:11" ht="15">
      <c r="B28" s="163"/>
      <c r="C28" s="90"/>
      <c r="D28" s="174" t="s">
        <v>692</v>
      </c>
      <c r="E28" s="175">
        <f>+Ratios!I113</f>
        <v>4.743040807689497E-2</v>
      </c>
      <c r="F28" s="175">
        <f>+Ratios!H113</f>
        <v>2.8304042318619785E-2</v>
      </c>
      <c r="G28" s="175">
        <f>+Ratios!G113</f>
        <v>1.9419612228000278E-2</v>
      </c>
      <c r="H28" s="175">
        <f>+Ratios!F113</f>
        <v>2.9750841442328212E-2</v>
      </c>
      <c r="I28" s="175">
        <f>+Ratios!E113</f>
        <v>-2.2638212201782127E-2</v>
      </c>
      <c r="J28" s="175">
        <f>+Ratios!D113</f>
        <v>8.4823486364087443E-4</v>
      </c>
      <c r="K28" s="176">
        <f>+Ratios!C113</f>
        <v>-2.5383041250065561E-2</v>
      </c>
    </row>
    <row r="29" spans="2:11" ht="15">
      <c r="B29" s="163"/>
      <c r="C29" s="90"/>
      <c r="D29" s="174" t="s">
        <v>693</v>
      </c>
      <c r="E29" s="175">
        <f>+Ratios!I114</f>
        <v>0.11781887337122925</v>
      </c>
      <c r="F29" s="175">
        <f>+Ratios!H114</f>
        <v>6.9955084039591567E-2</v>
      </c>
      <c r="G29" s="175">
        <f>+Ratios!G114</f>
        <v>6.4316336422614709E-2</v>
      </c>
      <c r="H29" s="175">
        <f>+Ratios!F114</f>
        <v>9.7476516632785004E-2</v>
      </c>
      <c r="I29" s="175">
        <f>+Ratios!E114</f>
        <v>-0.11300506232717185</v>
      </c>
      <c r="J29" s="175">
        <f>+Ratios!D114</f>
        <v>4.4914205375549687E-3</v>
      </c>
      <c r="K29" s="176">
        <f>+Ratios!C114</f>
        <v>-0.15129383984523023</v>
      </c>
    </row>
    <row r="30" spans="2:11">
      <c r="B30" s="90"/>
      <c r="C30" s="90"/>
      <c r="D30" s="174" t="s">
        <v>3</v>
      </c>
      <c r="E30" s="177">
        <f>+Ratios!I107</f>
        <v>0.82634217858840875</v>
      </c>
      <c r="F30" s="177">
        <f>+Ratios!H107</f>
        <v>0.74963199108068335</v>
      </c>
      <c r="G30" s="177">
        <f>+Ratios!G107</f>
        <v>1.5489133111122682</v>
      </c>
      <c r="H30" s="177">
        <f>+Ratios!F107</f>
        <v>1.4104396976633744</v>
      </c>
      <c r="I30" s="177">
        <f>+Ratios!E107</f>
        <v>2.6484023395317187</v>
      </c>
      <c r="J30" s="177">
        <f>+Ratios!D107</f>
        <v>2.7986802520605334</v>
      </c>
      <c r="K30" s="178">
        <f>+Ratios!C107</f>
        <v>3.3924907423749895</v>
      </c>
    </row>
    <row r="31" spans="2:11">
      <c r="B31" s="90"/>
      <c r="C31" s="90"/>
      <c r="D31" s="179" t="s">
        <v>694</v>
      </c>
      <c r="E31" s="180">
        <f>+Ratios!I108</f>
        <v>71275.337253545382</v>
      </c>
      <c r="F31" s="180">
        <f>+Ratios!H108</f>
        <v>77771.448914204462</v>
      </c>
      <c r="G31" s="180">
        <f>+Ratios!G108</f>
        <v>80215.053763440825</v>
      </c>
      <c r="H31" s="180">
        <f>+Ratios!F108</f>
        <v>107235.98588788717</v>
      </c>
      <c r="I31" s="180">
        <f>+Ratios!E108</f>
        <v>101006.43776824047</v>
      </c>
      <c r="J31" s="180">
        <f>+Ratios!D108</f>
        <v>105713.7123745819</v>
      </c>
      <c r="K31" s="181">
        <f>+Ratios!C108</f>
        <v>113994.13489736055</v>
      </c>
    </row>
    <row r="32" spans="2:11">
      <c r="B32" s="90"/>
      <c r="C32" s="90"/>
      <c r="D32" s="90"/>
      <c r="E32" s="90"/>
      <c r="F32" s="90"/>
      <c r="G32" s="90"/>
      <c r="H32" s="90"/>
      <c r="I32" s="90"/>
      <c r="J32" s="90"/>
      <c r="K32" s="90"/>
    </row>
    <row r="33" spans="2:11" ht="15">
      <c r="B33" s="163" t="s">
        <v>776</v>
      </c>
      <c r="C33" s="90"/>
      <c r="D33" s="1609" t="s">
        <v>902</v>
      </c>
      <c r="E33" s="1610"/>
      <c r="F33" s="1610"/>
      <c r="G33" s="1610"/>
      <c r="H33" s="1610"/>
      <c r="I33" s="1610"/>
      <c r="J33" s="1611"/>
      <c r="K33" s="90"/>
    </row>
    <row r="34" spans="2:11">
      <c r="B34" s="90"/>
      <c r="C34" s="90"/>
      <c r="D34" s="182" t="s">
        <v>903</v>
      </c>
      <c r="E34" s="183" t="s">
        <v>384</v>
      </c>
      <c r="F34" s="184" t="s">
        <v>386</v>
      </c>
      <c r="G34" s="183" t="s">
        <v>391</v>
      </c>
      <c r="H34" s="183" t="s">
        <v>392</v>
      </c>
      <c r="I34" s="183" t="s">
        <v>394</v>
      </c>
      <c r="J34" s="185" t="s">
        <v>407</v>
      </c>
      <c r="K34" s="90"/>
    </row>
    <row r="35" spans="2:11">
      <c r="B35" s="90"/>
      <c r="C35" s="90"/>
      <c r="D35" s="186" t="str">
        <f>+Kd!B7</f>
        <v>USP31442AA77</v>
      </c>
      <c r="E35" s="187" t="str">
        <f>+Kd!D7</f>
        <v>USD</v>
      </c>
      <c r="F35" s="188">
        <f>+Kd!G7</f>
        <v>320000000</v>
      </c>
      <c r="G35" s="189">
        <f>+Kd!L7</f>
        <v>40870</v>
      </c>
      <c r="H35" s="189">
        <f>+Kd!M7</f>
        <v>44523</v>
      </c>
      <c r="I35" s="187" t="str">
        <f>+Kd!O7</f>
        <v>BBB</v>
      </c>
      <c r="J35" s="190">
        <f>+Kd!N7</f>
        <v>6.7500000000000004E-2</v>
      </c>
      <c r="K35" s="90"/>
    </row>
    <row r="36" spans="2:11">
      <c r="B36" s="90"/>
      <c r="C36" s="90"/>
      <c r="D36" s="191" t="str">
        <f>+Kd!B8</f>
        <v>USP31442AC34</v>
      </c>
      <c r="E36" s="192" t="str">
        <f>+Kd!D8</f>
        <v>USD</v>
      </c>
      <c r="F36" s="193">
        <f>+Kd!G8</f>
        <v>260000000</v>
      </c>
      <c r="G36" s="194">
        <f>+Kd!L8</f>
        <v>41373</v>
      </c>
      <c r="H36" s="194">
        <f>+Kd!M8</f>
        <v>45264</v>
      </c>
      <c r="I36" s="192" t="str">
        <f>+Kd!O8</f>
        <v>BBB</v>
      </c>
      <c r="J36" s="195">
        <f>+Kd!N8</f>
        <v>4.6249999999999999E-2</v>
      </c>
      <c r="K36" s="90"/>
    </row>
    <row r="37" spans="2:11" ht="15">
      <c r="B37" s="163"/>
      <c r="C37" s="90"/>
      <c r="D37" s="90"/>
      <c r="E37" s="90"/>
      <c r="F37" s="90"/>
      <c r="G37" s="90"/>
      <c r="H37" s="90"/>
      <c r="I37" s="90"/>
      <c r="J37" s="90"/>
      <c r="K37" s="90"/>
    </row>
    <row r="38" spans="2:11" ht="15">
      <c r="B38" s="163" t="s">
        <v>904</v>
      </c>
      <c r="C38" s="90"/>
      <c r="D38" s="1609" t="s">
        <v>1481</v>
      </c>
      <c r="E38" s="1610"/>
      <c r="F38" s="1610"/>
      <c r="G38" s="1611"/>
      <c r="H38" s="1273"/>
      <c r="I38" s="1273"/>
      <c r="J38" s="90"/>
      <c r="K38" s="90"/>
    </row>
    <row r="39" spans="2:11" ht="15">
      <c r="D39" s="1276" t="s">
        <v>1372</v>
      </c>
      <c r="E39" s="1277">
        <f>Kd!$F$14</f>
        <v>4.6378505761619226E-2</v>
      </c>
      <c r="F39" s="457" t="s">
        <v>1766</v>
      </c>
      <c r="G39" s="1393">
        <f>'Flujo de Caja'!L32</f>
        <v>4.512541855845484</v>
      </c>
      <c r="J39" s="1613"/>
      <c r="K39" s="198"/>
    </row>
    <row r="40" spans="2:11" ht="15">
      <c r="D40" s="1276" t="s">
        <v>1371</v>
      </c>
      <c r="E40" s="1277">
        <f>Ke!$C$23</f>
        <v>0.14564961299470019</v>
      </c>
      <c r="F40" s="457" t="s">
        <v>1765</v>
      </c>
      <c r="G40" s="1393">
        <f>'Flujo de Caja'!L33</f>
        <v>3.0880443616943758</v>
      </c>
      <c r="H40" s="196"/>
      <c r="I40" s="197"/>
      <c r="J40" s="1613"/>
      <c r="K40" s="198"/>
    </row>
    <row r="41" spans="2:11">
      <c r="D41" s="1278" t="s">
        <v>1373</v>
      </c>
      <c r="E41" s="1279">
        <f>WACC!$C$14</f>
        <v>9.5922326377554268E-2</v>
      </c>
      <c r="F41" s="641"/>
      <c r="G41" s="440"/>
      <c r="H41" s="90"/>
      <c r="I41" s="90"/>
      <c r="J41" s="1613"/>
      <c r="K41" s="90"/>
    </row>
    <row r="42" spans="2:11">
      <c r="E42" s="90"/>
      <c r="F42" s="90"/>
      <c r="G42" s="90"/>
      <c r="H42" s="90"/>
      <c r="I42" s="90"/>
      <c r="J42" s="90"/>
      <c r="K42" s="90"/>
    </row>
    <row r="43" spans="2:11" ht="15">
      <c r="D43" s="1609" t="s">
        <v>1482</v>
      </c>
      <c r="E43" s="1610"/>
      <c r="F43" s="1610"/>
      <c r="G43" s="1611"/>
      <c r="H43" s="90"/>
      <c r="I43" s="90"/>
      <c r="J43" s="90"/>
      <c r="K43" s="90"/>
    </row>
    <row r="44" spans="2:11" ht="15">
      <c r="D44" s="419" t="s">
        <v>1766</v>
      </c>
      <c r="E44" s="604"/>
      <c r="F44" s="1394" t="str">
        <f>Multiplos!E40</f>
        <v>Mediana</v>
      </c>
      <c r="G44" s="1395"/>
      <c r="H44" s="90"/>
      <c r="I44" s="90"/>
      <c r="J44" s="90"/>
      <c r="K44" s="90"/>
    </row>
    <row r="45" spans="2:11" ht="15">
      <c r="D45" s="534" t="s">
        <v>1765</v>
      </c>
      <c r="E45" s="1396">
        <f>Multiplos!E44</f>
        <v>2.4590515547716154</v>
      </c>
      <c r="F45" s="1275">
        <f>Multiplos!E43</f>
        <v>1.0171180536621824</v>
      </c>
      <c r="G45" s="1274"/>
      <c r="H45" s="90"/>
      <c r="I45" s="90"/>
      <c r="J45" s="90"/>
      <c r="K45" s="90"/>
    </row>
    <row r="46" spans="2:11" ht="18.75" thickBot="1">
      <c r="B46" s="161"/>
      <c r="C46" s="162"/>
      <c r="D46" s="162"/>
      <c r="E46" s="162"/>
      <c r="F46" s="162"/>
      <c r="G46" s="162"/>
      <c r="H46" s="162"/>
      <c r="I46" s="162"/>
      <c r="J46" s="162"/>
      <c r="K46" s="162"/>
    </row>
    <row r="47" spans="2:11" ht="15" thickTop="1"/>
  </sheetData>
  <mergeCells count="6">
    <mergeCell ref="D43:G43"/>
    <mergeCell ref="D9:K11"/>
    <mergeCell ref="D33:J33"/>
    <mergeCell ref="D12:K14"/>
    <mergeCell ref="J39:J41"/>
    <mergeCell ref="D38:G38"/>
  </mergeCells>
  <hyperlinks>
    <hyperlink ref="D15" r:id="rId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R54"/>
  <sheetViews>
    <sheetView showGridLines="0" tabSelected="1" zoomScale="90" zoomScaleNormal="90" workbookViewId="0">
      <selection activeCell="K8" sqref="K8"/>
    </sheetView>
  </sheetViews>
  <sheetFormatPr baseColWidth="10" defaultRowHeight="14.25"/>
  <cols>
    <col min="1" max="1" width="2.5703125" style="155" customWidth="1"/>
    <col min="2" max="2" width="15.5703125" style="199" customWidth="1"/>
    <col min="3" max="3" width="15" style="155" customWidth="1"/>
    <col min="4" max="4" width="21.28515625" style="155" customWidth="1"/>
    <col min="5" max="6" width="13.5703125" style="155" customWidth="1"/>
    <col min="7" max="7" width="15.5703125" style="155" customWidth="1"/>
    <col min="8" max="8" width="13.5703125" style="155" customWidth="1"/>
    <col min="9" max="9" width="17.42578125" style="155" customWidth="1"/>
    <col min="10" max="10" width="9.7109375" style="155" customWidth="1"/>
    <col min="11" max="12" width="15" style="155" customWidth="1"/>
    <col min="13" max="13" width="13.140625" style="155" bestFit="1" customWidth="1"/>
    <col min="14" max="14" width="9.7109375" style="155" customWidth="1"/>
    <col min="15" max="15" width="11.42578125" style="155"/>
    <col min="16" max="17" width="17.140625" style="155" bestFit="1" customWidth="1"/>
    <col min="18" max="16384" width="11.42578125" style="155"/>
  </cols>
  <sheetData>
    <row r="1" spans="1:14">
      <c r="A1" s="90"/>
      <c r="B1" s="660"/>
      <c r="C1" s="90"/>
      <c r="D1" s="90"/>
      <c r="E1" s="90"/>
      <c r="F1" s="90"/>
      <c r="G1" s="90"/>
      <c r="H1" s="90"/>
      <c r="I1" s="90"/>
      <c r="J1" s="90"/>
      <c r="K1" s="90"/>
      <c r="L1" s="90"/>
      <c r="M1" s="90"/>
      <c r="N1" s="90"/>
    </row>
    <row r="2" spans="1:14" ht="23.25">
      <c r="A2" s="90"/>
      <c r="B2" s="160" t="s">
        <v>1381</v>
      </c>
      <c r="C2" s="90"/>
      <c r="D2" s="90"/>
      <c r="E2" s="90"/>
      <c r="F2" s="90"/>
      <c r="G2" s="90"/>
      <c r="H2" s="90"/>
      <c r="I2" s="90"/>
      <c r="J2" s="90"/>
      <c r="K2" s="90"/>
      <c r="L2" s="90"/>
      <c r="M2" s="90"/>
      <c r="N2" s="90"/>
    </row>
    <row r="3" spans="1:14" ht="11.25" customHeight="1">
      <c r="A3" s="90"/>
      <c r="B3" s="660"/>
      <c r="C3" s="90"/>
      <c r="D3" s="90"/>
      <c r="E3" s="90"/>
      <c r="F3" s="90"/>
      <c r="G3" s="90"/>
      <c r="H3" s="90"/>
      <c r="I3" s="90"/>
      <c r="J3" s="90"/>
      <c r="K3" s="90"/>
      <c r="L3" s="90"/>
      <c r="M3" s="90"/>
      <c r="N3" s="90"/>
    </row>
    <row r="4" spans="1:14" ht="16.5" thickBot="1">
      <c r="A4" s="90"/>
      <c r="B4" s="674" t="s">
        <v>1382</v>
      </c>
      <c r="C4" s="675"/>
      <c r="D4" s="675"/>
      <c r="E4" s="675"/>
      <c r="F4" s="675"/>
      <c r="G4" s="675"/>
      <c r="H4" s="675"/>
      <c r="I4" s="675"/>
      <c r="J4" s="90"/>
      <c r="K4" s="90"/>
      <c r="L4" s="90"/>
      <c r="M4" s="90"/>
      <c r="N4" s="90"/>
    </row>
    <row r="5" spans="1:14" ht="16.5" thickTop="1">
      <c r="A5" s="90"/>
      <c r="B5" s="207"/>
      <c r="C5" s="473"/>
      <c r="D5" s="473"/>
      <c r="E5" s="668">
        <v>2016</v>
      </c>
      <c r="F5" s="668">
        <v>2017</v>
      </c>
      <c r="G5" s="668">
        <v>2018</v>
      </c>
      <c r="H5" s="668">
        <v>2019</v>
      </c>
      <c r="I5" s="668">
        <v>2020</v>
      </c>
      <c r="J5" s="90"/>
      <c r="K5" s="90"/>
      <c r="L5" s="90"/>
      <c r="M5" s="90"/>
      <c r="N5" s="90"/>
    </row>
    <row r="6" spans="1:14" ht="15">
      <c r="A6" s="90"/>
      <c r="B6" s="259" t="s">
        <v>331</v>
      </c>
      <c r="C6" s="473"/>
      <c r="D6" s="473"/>
      <c r="E6" s="676"/>
      <c r="F6" s="676"/>
      <c r="G6" s="676"/>
      <c r="H6" s="676"/>
      <c r="I6" s="676"/>
      <c r="J6" s="90"/>
      <c r="K6" s="90"/>
      <c r="L6" s="90"/>
      <c r="M6" s="90"/>
      <c r="N6" s="90"/>
    </row>
    <row r="7" spans="1:14" ht="15">
      <c r="A7" s="90"/>
      <c r="B7" s="259" t="s">
        <v>788</v>
      </c>
      <c r="C7" s="473"/>
      <c r="D7" s="473"/>
      <c r="E7" s="670">
        <f>Supuestos!D18</f>
        <v>609962.92586699885</v>
      </c>
      <c r="F7" s="670">
        <f>Supuestos!E18</f>
        <v>650806.68713112455</v>
      </c>
      <c r="G7" s="670">
        <f>Supuestos!F18</f>
        <v>691946.11746225727</v>
      </c>
      <c r="H7" s="670">
        <f>Supuestos!G18</f>
        <v>725099.28268508962</v>
      </c>
      <c r="I7" s="670">
        <f>Supuestos!H18+J7</f>
        <v>731352.01121193357</v>
      </c>
      <c r="J7" s="90"/>
      <c r="K7" s="90"/>
      <c r="L7" s="90"/>
      <c r="M7" s="90"/>
      <c r="N7" s="90"/>
    </row>
    <row r="8" spans="1:14" ht="15">
      <c r="A8" s="90"/>
      <c r="B8" s="259" t="s">
        <v>789</v>
      </c>
      <c r="C8" s="473"/>
      <c r="D8" s="473"/>
      <c r="E8" s="670">
        <f>Supuestos!D19</f>
        <v>107609.89886056645</v>
      </c>
      <c r="F8" s="670">
        <f>Supuestos!E19</f>
        <v>121577.87300486298</v>
      </c>
      <c r="G8" s="670">
        <f>Supuestos!F19</f>
        <v>136123.81862417579</v>
      </c>
      <c r="H8" s="670">
        <f>Supuestos!G19</f>
        <v>153393.12967585964</v>
      </c>
      <c r="I8" s="670">
        <f>Supuestos!H19</f>
        <v>171616.07102493249</v>
      </c>
      <c r="J8" s="90"/>
      <c r="K8" s="90"/>
      <c r="L8" s="90"/>
      <c r="M8" s="90"/>
      <c r="N8" s="90"/>
    </row>
    <row r="9" spans="1:14" ht="15">
      <c r="A9" s="90"/>
      <c r="B9" s="259" t="s">
        <v>790</v>
      </c>
      <c r="C9" s="473"/>
      <c r="D9" s="473"/>
      <c r="E9" s="670">
        <f>Supuestos!D20</f>
        <v>40792.09695072141</v>
      </c>
      <c r="F9" s="670">
        <f>Supuestos!E20</f>
        <v>47877.248511952828</v>
      </c>
      <c r="G9" s="670">
        <f>Supuestos!F20</f>
        <v>55026.849290632366</v>
      </c>
      <c r="H9" s="670">
        <f>Supuestos!G20</f>
        <v>63325.79592137791</v>
      </c>
      <c r="I9" s="670">
        <f>Supuestos!H20</f>
        <v>75441.178788907695</v>
      </c>
      <c r="J9" s="90"/>
      <c r="K9" s="90"/>
      <c r="L9" s="90"/>
      <c r="M9" s="90"/>
      <c r="N9" s="90"/>
    </row>
    <row r="10" spans="1:14" ht="15">
      <c r="A10" s="90"/>
      <c r="B10" s="259" t="s">
        <v>791</v>
      </c>
      <c r="C10" s="473"/>
      <c r="D10" s="473"/>
      <c r="E10" s="670">
        <f>Supuestos!D21</f>
        <v>48604.354021521154</v>
      </c>
      <c r="F10" s="670">
        <f>Supuestos!E21</f>
        <v>50366.287509202062</v>
      </c>
      <c r="G10" s="670">
        <f>Supuestos!F21</f>
        <v>52090.279372141238</v>
      </c>
      <c r="H10" s="670">
        <f>Supuestos!G21</f>
        <v>53950.810357279253</v>
      </c>
      <c r="I10" s="670">
        <f>Supuestos!H21</f>
        <v>56274.500805110583</v>
      </c>
      <c r="J10" s="90"/>
      <c r="K10" s="90"/>
      <c r="L10" s="90"/>
      <c r="M10" s="90"/>
      <c r="N10" s="90"/>
    </row>
    <row r="11" spans="1:14" ht="15">
      <c r="A11" s="90"/>
      <c r="B11" s="677" t="s">
        <v>792</v>
      </c>
      <c r="C11" s="678"/>
      <c r="D11" s="678"/>
      <c r="E11" s="679">
        <f>SUM(E7:E10)</f>
        <v>806969.27569980791</v>
      </c>
      <c r="F11" s="679">
        <f t="shared" ref="F11:H11" si="0">SUM(F7:F10)</f>
        <v>870628.09615714243</v>
      </c>
      <c r="G11" s="679">
        <f>SUM(G7:G10)</f>
        <v>935187.06474920665</v>
      </c>
      <c r="H11" s="679">
        <f t="shared" si="0"/>
        <v>995769.01863960642</v>
      </c>
      <c r="I11" s="679">
        <f>SUM(I7:I10)</f>
        <v>1034683.7618308843</v>
      </c>
      <c r="J11" s="90"/>
      <c r="K11" s="90"/>
      <c r="L11" s="90"/>
      <c r="M11" s="90"/>
      <c r="N11" s="90"/>
    </row>
    <row r="12" spans="1:14" s="530" customFormat="1" ht="15">
      <c r="A12" s="680"/>
      <c r="B12" s="681" t="s">
        <v>66</v>
      </c>
      <c r="C12" s="177"/>
      <c r="D12" s="177"/>
      <c r="E12" s="670">
        <f>-E11*Supuestos!D22</f>
        <v>-516460.33644787705</v>
      </c>
      <c r="F12" s="670">
        <f>-F11*Supuestos!E22</f>
        <v>-557201.9815405712</v>
      </c>
      <c r="G12" s="670">
        <f>-G11*Supuestos!F22</f>
        <v>-598519.72143949231</v>
      </c>
      <c r="H12" s="670">
        <f>-H11*Supuestos!G22</f>
        <v>-637292.17192934814</v>
      </c>
      <c r="I12" s="670">
        <f>-I11*Supuestos!H22</f>
        <v>-662197.6075717659</v>
      </c>
      <c r="J12" s="590"/>
      <c r="K12" s="680"/>
      <c r="L12" s="680"/>
      <c r="M12" s="680"/>
      <c r="N12" s="680"/>
    </row>
    <row r="13" spans="1:14" s="530" customFormat="1" ht="15">
      <c r="A13" s="680"/>
      <c r="B13" s="682" t="s">
        <v>1403</v>
      </c>
      <c r="C13" s="683"/>
      <c r="D13" s="683"/>
      <c r="E13" s="684">
        <f>E11+E12</f>
        <v>290508.93925193086</v>
      </c>
      <c r="F13" s="684">
        <f t="shared" ref="F13:G13" si="1">F11+F12</f>
        <v>313426.11461657123</v>
      </c>
      <c r="G13" s="684">
        <f t="shared" si="1"/>
        <v>336667.34330971434</v>
      </c>
      <c r="H13" s="684">
        <f>H11+H12</f>
        <v>358476.84671025828</v>
      </c>
      <c r="I13" s="684">
        <f>I11+I12</f>
        <v>372486.15425911837</v>
      </c>
      <c r="J13" s="680"/>
      <c r="K13" s="680"/>
      <c r="L13" s="680"/>
      <c r="M13" s="680"/>
      <c r="N13" s="680"/>
    </row>
    <row r="14" spans="1:14" ht="15">
      <c r="A14" s="90"/>
      <c r="B14" s="259" t="s">
        <v>754</v>
      </c>
      <c r="C14" s="473"/>
      <c r="D14" s="473"/>
      <c r="E14" s="670">
        <f>-E11*Supuestos!D23</f>
        <v>-32278.771027992316</v>
      </c>
      <c r="F14" s="670">
        <f>-F11*Supuestos!E23</f>
        <v>-34825.1238462857</v>
      </c>
      <c r="G14" s="670">
        <f>-G11*Supuestos!F23</f>
        <v>-37407.482589968269</v>
      </c>
      <c r="H14" s="670">
        <f>-H11*Supuestos!G23</f>
        <v>-39830.760745584259</v>
      </c>
      <c r="I14" s="670">
        <f>-I11*Supuestos!H23</f>
        <v>-41387.350473235369</v>
      </c>
      <c r="J14" s="90"/>
      <c r="K14" s="90"/>
      <c r="L14" s="90"/>
      <c r="M14" s="90"/>
      <c r="N14" s="90"/>
    </row>
    <row r="15" spans="1:14" ht="15">
      <c r="A15" s="90"/>
      <c r="B15" s="259" t="s">
        <v>755</v>
      </c>
      <c r="C15" s="473"/>
      <c r="D15" s="473"/>
      <c r="E15" s="670">
        <f>-E11*Supuestos!D24</f>
        <v>-153324.16238296349</v>
      </c>
      <c r="F15" s="670">
        <f>-F11*Supuestos!E24</f>
        <v>-165419.33826985705</v>
      </c>
      <c r="G15" s="670">
        <f>-G11*Supuestos!F24</f>
        <v>-177685.54230234926</v>
      </c>
      <c r="H15" s="670">
        <f>-H11*Supuestos!G24</f>
        <v>-189196.11354152524</v>
      </c>
      <c r="I15" s="670">
        <f>-I11*Supuestos!H24</f>
        <v>-196589.91474786802</v>
      </c>
      <c r="J15" s="90"/>
      <c r="K15" s="90"/>
      <c r="L15" s="90"/>
      <c r="M15" s="90"/>
      <c r="N15" s="90"/>
    </row>
    <row r="16" spans="1:14" ht="15">
      <c r="A16" s="90"/>
      <c r="B16" s="685" t="s">
        <v>1402</v>
      </c>
      <c r="C16" s="686"/>
      <c r="D16" s="686"/>
      <c r="E16" s="687">
        <f>SUM(E13:E15)</f>
        <v>104906.00584097506</v>
      </c>
      <c r="F16" s="687">
        <f t="shared" ref="F16:H16" si="2">SUM(F13:F15)</f>
        <v>113181.65250042849</v>
      </c>
      <c r="G16" s="687">
        <f t="shared" si="2"/>
        <v>121574.31841739683</v>
      </c>
      <c r="H16" s="687">
        <f t="shared" si="2"/>
        <v>129449.97242314878</v>
      </c>
      <c r="I16" s="687">
        <f>SUM(I13:I15)</f>
        <v>134508.88903801498</v>
      </c>
      <c r="J16" s="90"/>
      <c r="K16" s="90"/>
      <c r="L16" s="90"/>
      <c r="M16" s="90"/>
      <c r="N16" s="90"/>
    </row>
    <row r="17" spans="1:18" ht="15">
      <c r="A17" s="90"/>
      <c r="B17" s="259" t="s">
        <v>19</v>
      </c>
      <c r="C17" s="662"/>
      <c r="D17" s="662"/>
      <c r="E17" s="670">
        <f>-Supuestos!D25*'Flujo de Caja'!E16</f>
        <v>-29373.681635473022</v>
      </c>
      <c r="F17" s="670">
        <f>-Supuestos!E25*'Flujo de Caja'!F16</f>
        <v>-30559.046175115694</v>
      </c>
      <c r="G17" s="670">
        <f>-Supuestos!F25*'Flujo de Caja'!G16</f>
        <v>-32825.06597269715</v>
      </c>
      <c r="H17" s="670">
        <f>-Supuestos!G25*'Flujo de Caja'!H16</f>
        <v>-33656.99283001868</v>
      </c>
      <c r="I17" s="670">
        <f>-Supuestos!H25*'Flujo de Caja'!I16</f>
        <v>-34972.311149883899</v>
      </c>
      <c r="J17" s="90"/>
      <c r="K17" s="90"/>
      <c r="L17" s="90"/>
      <c r="M17" s="90"/>
      <c r="N17" s="90"/>
    </row>
    <row r="18" spans="1:18" ht="15">
      <c r="A18" s="90"/>
      <c r="B18" s="677" t="s">
        <v>756</v>
      </c>
      <c r="C18" s="678"/>
      <c r="D18" s="678"/>
      <c r="E18" s="688">
        <f>SUM(E16:E17)</f>
        <v>75532.324205502038</v>
      </c>
      <c r="F18" s="688">
        <f t="shared" ref="F18:H18" si="3">SUM(F16:F17)</f>
        <v>82622.606325312794</v>
      </c>
      <c r="G18" s="688">
        <f>SUM(G16:G17)</f>
        <v>88749.252444699683</v>
      </c>
      <c r="H18" s="688">
        <f t="shared" si="3"/>
        <v>95792.979593130091</v>
      </c>
      <c r="I18" s="688">
        <f>SUM(I16:I17)</f>
        <v>99536.577888131083</v>
      </c>
      <c r="J18" s="90"/>
      <c r="K18" s="90"/>
      <c r="L18" s="90"/>
      <c r="M18" s="90"/>
      <c r="N18" s="90"/>
    </row>
    <row r="19" spans="1:18" ht="15">
      <c r="A19" s="90"/>
      <c r="B19" s="259" t="s">
        <v>757</v>
      </c>
      <c r="C19" s="473"/>
      <c r="D19" s="473"/>
      <c r="E19" s="175">
        <f t="shared" ref="E19:I19" si="4">E18/E11</f>
        <v>9.3600000000000017E-2</v>
      </c>
      <c r="F19" s="175">
        <f t="shared" si="4"/>
        <v>9.489999999999997E-2</v>
      </c>
      <c r="G19" s="175">
        <f t="shared" si="4"/>
        <v>9.489999999999997E-2</v>
      </c>
      <c r="H19" s="175">
        <f t="shared" si="4"/>
        <v>9.6199999999999952E-2</v>
      </c>
      <c r="I19" s="175">
        <f t="shared" si="4"/>
        <v>9.6200000000000022E-2</v>
      </c>
      <c r="J19" s="90"/>
      <c r="K19" s="90"/>
      <c r="L19" s="90"/>
      <c r="M19" s="90"/>
      <c r="N19" s="90"/>
    </row>
    <row r="20" spans="1:18" ht="15">
      <c r="A20" s="90"/>
      <c r="B20" s="259" t="s">
        <v>758</v>
      </c>
      <c r="C20" s="473"/>
      <c r="D20" s="473"/>
      <c r="E20" s="670">
        <f>Supuestos!D26*Supuestos!D27</f>
        <v>34698.739002932554</v>
      </c>
      <c r="F20" s="670">
        <f>Supuestos!E26*Supuestos!E27</f>
        <v>38198.739002932554</v>
      </c>
      <c r="G20" s="670">
        <f>Supuestos!F26*Supuestos!F27</f>
        <v>41698.739002932554</v>
      </c>
      <c r="H20" s="670">
        <f>Supuestos!G26*Supuestos!G27</f>
        <v>45198.739002932554</v>
      </c>
      <c r="I20" s="670">
        <f>Supuestos!H26*Supuestos!H27</f>
        <v>46698.739002932554</v>
      </c>
      <c r="J20" s="90"/>
      <c r="K20" s="90"/>
      <c r="L20" s="90"/>
      <c r="M20" s="90"/>
      <c r="N20" s="90"/>
    </row>
    <row r="21" spans="1:18" ht="15">
      <c r="A21" s="90"/>
      <c r="B21" s="259" t="s">
        <v>1944</v>
      </c>
      <c r="C21" s="473"/>
      <c r="D21" s="473"/>
      <c r="E21" s="670">
        <f>-Supuestos!D29</f>
        <v>-21967.314447528886</v>
      </c>
      <c r="F21" s="670">
        <f>-Supuestos!E29</f>
        <v>-10513.771110105939</v>
      </c>
      <c r="G21" s="670">
        <f>-Supuestos!F29</f>
        <v>10341.885652204539</v>
      </c>
      <c r="H21" s="670">
        <f>-Supuestos!G29</f>
        <v>-14272.395234657801</v>
      </c>
      <c r="I21" s="670">
        <f>-Supuestos!H29</f>
        <v>-2078.3022016225732</v>
      </c>
      <c r="J21" s="90"/>
      <c r="K21" s="90"/>
      <c r="L21" s="90"/>
      <c r="M21" s="90"/>
      <c r="N21" s="90"/>
    </row>
    <row r="22" spans="1:18" ht="15">
      <c r="A22" s="90"/>
      <c r="B22" s="259" t="s">
        <v>759</v>
      </c>
      <c r="C22" s="473"/>
      <c r="D22" s="473"/>
      <c r="E22" s="670">
        <f>-Supuestos!D28</f>
        <v>-70000</v>
      </c>
      <c r="F22" s="670">
        <f>-Supuestos!E28</f>
        <v>-70000</v>
      </c>
      <c r="G22" s="670">
        <f>-Supuestos!F28</f>
        <v>-70000</v>
      </c>
      <c r="H22" s="670">
        <f>-Supuestos!G28</f>
        <v>-70000</v>
      </c>
      <c r="I22" s="670">
        <f>-Supuestos!H28</f>
        <v>-30000</v>
      </c>
      <c r="J22" s="90"/>
      <c r="K22" s="90"/>
      <c r="L22" s="90"/>
      <c r="M22" s="90"/>
      <c r="N22" s="90"/>
    </row>
    <row r="23" spans="1:18" ht="15">
      <c r="A23" s="90"/>
      <c r="B23" s="677" t="s">
        <v>760</v>
      </c>
      <c r="C23" s="678"/>
      <c r="D23" s="678"/>
      <c r="E23" s="684">
        <f>SUM(E18,E20:E22)</f>
        <v>18263.748760905699</v>
      </c>
      <c r="F23" s="684">
        <f>SUM(F18,F20:F22)</f>
        <v>40307.574218139402</v>
      </c>
      <c r="G23" s="684">
        <f t="shared" ref="G23:H23" si="5">SUM(G18,G20:G22)</f>
        <v>70789.877099836769</v>
      </c>
      <c r="H23" s="684">
        <f t="shared" si="5"/>
        <v>56719.323361404851</v>
      </c>
      <c r="I23" s="684">
        <f>SUM(I18,I20:I22)</f>
        <v>114157.01468944107</v>
      </c>
      <c r="J23" s="473"/>
      <c r="K23" s="177">
        <v>114157.01468944107</v>
      </c>
      <c r="L23" s="177">
        <f>+I24/I23</f>
        <v>15.700024929989693</v>
      </c>
      <c r="M23" s="473"/>
      <c r="N23" s="90"/>
    </row>
    <row r="24" spans="1:18" ht="15.75" thickBot="1">
      <c r="A24" s="90"/>
      <c r="B24" s="672" t="s">
        <v>761</v>
      </c>
      <c r="C24" s="162"/>
      <c r="D24" s="162"/>
      <c r="E24" s="673"/>
      <c r="F24" s="673"/>
      <c r="G24" s="673"/>
      <c r="H24" s="673"/>
      <c r="I24" s="673">
        <f>+I23*(1+G!C3)/(WACC!C23-G!C3)</f>
        <v>1792267.9765574245</v>
      </c>
      <c r="J24" s="689"/>
      <c r="K24" s="689">
        <v>1792267.9765574245</v>
      </c>
      <c r="L24" s="689"/>
      <c r="M24" s="689"/>
      <c r="N24" s="90"/>
    </row>
    <row r="25" spans="1:18" ht="15.75" thickTop="1">
      <c r="A25" s="90"/>
      <c r="B25" s="259"/>
      <c r="C25" s="473"/>
      <c r="D25" s="473"/>
      <c r="E25" s="473"/>
      <c r="F25" s="175"/>
      <c r="G25" s="175"/>
      <c r="H25" s="175"/>
      <c r="I25" s="175"/>
      <c r="J25" s="689"/>
      <c r="K25" s="689"/>
      <c r="L25" s="689"/>
      <c r="M25" s="689"/>
      <c r="N25" s="90"/>
    </row>
    <row r="26" spans="1:18" ht="15.75" thickBot="1">
      <c r="A26" s="90"/>
      <c r="B26" s="259"/>
      <c r="C26" s="473"/>
      <c r="D26" s="473"/>
      <c r="E26" s="90"/>
      <c r="F26" s="90"/>
      <c r="G26" s="90"/>
      <c r="H26" s="90"/>
      <c r="I26" s="90"/>
      <c r="J26" s="473"/>
      <c r="K26" s="473"/>
      <c r="L26" s="473"/>
      <c r="M26" s="473"/>
      <c r="N26" s="90"/>
    </row>
    <row r="27" spans="1:18" s="90" customFormat="1" ht="15.75" thickBot="1">
      <c r="B27" s="660"/>
      <c r="F27" s="473"/>
      <c r="G27" s="1773" t="s">
        <v>1775</v>
      </c>
      <c r="H27" s="1774"/>
      <c r="I27" s="1774"/>
      <c r="J27" s="1774"/>
      <c r="K27" s="1774"/>
      <c r="L27" s="1774"/>
      <c r="M27" s="1774"/>
      <c r="N27" s="1775"/>
    </row>
    <row r="28" spans="1:18" s="90" customFormat="1" ht="25.5">
      <c r="B28" s="690" t="s">
        <v>762</v>
      </c>
      <c r="C28" s="691"/>
      <c r="D28" s="692">
        <f>NPV(WACC!C14,E23:I23)*1000</f>
        <v>215537870.83768651</v>
      </c>
      <c r="F28" s="473"/>
      <c r="G28" s="1140"/>
      <c r="H28" s="1772" t="s">
        <v>1758</v>
      </c>
      <c r="I28" s="1772"/>
      <c r="J28" s="1128" t="s">
        <v>1756</v>
      </c>
      <c r="K28" s="1128" t="s">
        <v>795</v>
      </c>
      <c r="L28" s="1134" t="s">
        <v>1760</v>
      </c>
      <c r="M28" s="1135" t="s">
        <v>1757</v>
      </c>
      <c r="N28" s="1136" t="s">
        <v>1759</v>
      </c>
      <c r="O28" s="1127"/>
    </row>
    <row r="29" spans="1:18" s="90" customFormat="1">
      <c r="B29" s="693" t="s">
        <v>764</v>
      </c>
      <c r="C29" s="473"/>
      <c r="D29" s="694">
        <f>+(I24*1000)/(1+WACC!C23)^5</f>
        <v>1153212960.8316729</v>
      </c>
      <c r="F29" s="473"/>
      <c r="G29" s="693" t="s">
        <v>1700</v>
      </c>
      <c r="H29" s="695"/>
      <c r="I29" s="695">
        <v>223774704</v>
      </c>
      <c r="J29" s="175">
        <f>I29/$I$34</f>
        <v>0.34271497265980894</v>
      </c>
      <c r="K29" s="473"/>
      <c r="L29" s="1321">
        <f>L32</f>
        <v>4.512541855845484</v>
      </c>
      <c r="M29" s="1122"/>
      <c r="N29" s="1325">
        <f>Factor!P8</f>
        <v>7.632796878189148</v>
      </c>
      <c r="O29" s="1148"/>
    </row>
    <row r="30" spans="1:18" s="90" customFormat="1">
      <c r="B30" s="693" t="s">
        <v>765</v>
      </c>
      <c r="C30" s="473"/>
      <c r="D30" s="694">
        <f>BG!K6*1000</f>
        <v>83236070.381231666</v>
      </c>
      <c r="F30" s="473"/>
      <c r="G30" s="693" t="s">
        <v>1701</v>
      </c>
      <c r="H30" s="695"/>
      <c r="I30" s="695">
        <v>329870528</v>
      </c>
      <c r="J30" s="175">
        <f t="shared" ref="J30:J34" si="6">I30/$I$34</f>
        <v>0.50520262998447196</v>
      </c>
      <c r="K30" s="473"/>
      <c r="L30" s="1321">
        <f>L32</f>
        <v>4.512541855845484</v>
      </c>
      <c r="M30" s="473"/>
      <c r="N30" s="1325">
        <f>Factor!P8</f>
        <v>7.632796878189148</v>
      </c>
    </row>
    <row r="31" spans="1:18" s="90" customFormat="1">
      <c r="B31" s="693" t="s">
        <v>766</v>
      </c>
      <c r="C31" s="473"/>
      <c r="D31" s="694">
        <f>Kd!F13</f>
        <v>617988118.78026402</v>
      </c>
      <c r="G31" s="698" t="s">
        <v>1702</v>
      </c>
      <c r="H31" s="700"/>
      <c r="I31" s="700">
        <v>27336227</v>
      </c>
      <c r="J31" s="1131">
        <f t="shared" si="6"/>
        <v>4.186592193605284E-2</v>
      </c>
      <c r="K31" s="699"/>
      <c r="L31" s="1322">
        <f>L32</f>
        <v>4.512541855845484</v>
      </c>
      <c r="M31" s="699"/>
      <c r="N31" s="1326">
        <f>Factor!P8</f>
        <v>7.632796878189148</v>
      </c>
    </row>
    <row r="32" spans="1:18" s="90" customFormat="1" ht="15">
      <c r="B32" s="696" t="s">
        <v>763</v>
      </c>
      <c r="C32" s="677"/>
      <c r="D32" s="697">
        <f>D28+D29+D30-D31</f>
        <v>833998783.27032697</v>
      </c>
      <c r="G32" s="693" t="s">
        <v>2</v>
      </c>
      <c r="H32" s="695"/>
      <c r="I32" s="695">
        <f>SUM(I29:I31)</f>
        <v>580981459</v>
      </c>
      <c r="J32" s="175">
        <f t="shared" si="6"/>
        <v>0.88978352458033372</v>
      </c>
      <c r="K32" s="177">
        <v>1.036046767483868</v>
      </c>
      <c r="L32" s="1323">
        <f>I36*K32</f>
        <v>4.512541855845484</v>
      </c>
      <c r="M32" s="473"/>
      <c r="N32" s="1325">
        <f>Factor!P8</f>
        <v>7.632796878189148</v>
      </c>
      <c r="O32" s="680">
        <f>N32/L32</f>
        <v>1.6914628433422128</v>
      </c>
      <c r="P32" s="1035"/>
      <c r="Q32" s="590"/>
      <c r="R32" s="1036"/>
    </row>
    <row r="33" spans="2:18" s="90" customFormat="1" ht="15.75" thickBot="1">
      <c r="B33" s="701"/>
      <c r="C33" s="702"/>
      <c r="D33" s="703"/>
      <c r="G33" s="1123" t="s">
        <v>1699</v>
      </c>
      <c r="H33" s="1124"/>
      <c r="I33" s="1124">
        <v>71965514</v>
      </c>
      <c r="J33" s="1132">
        <f t="shared" si="6"/>
        <v>0.11021647541966628</v>
      </c>
      <c r="K33" s="1133">
        <v>0.70899251042643252</v>
      </c>
      <c r="L33" s="1324">
        <f>I36*K33</f>
        <v>3.0880443616943758</v>
      </c>
      <c r="M33" s="1324">
        <v>2.75</v>
      </c>
      <c r="N33" s="1327">
        <f>Factor!O13*BG!K3</f>
        <v>3.0348999395763205</v>
      </c>
      <c r="O33" s="680">
        <f>+N33/L33</f>
        <v>0.98279026597632957</v>
      </c>
      <c r="P33" s="1035"/>
      <c r="Q33" s="590"/>
      <c r="R33" s="1036"/>
    </row>
    <row r="34" spans="2:18" s="90" customFormat="1" ht="15">
      <c r="G34" s="704" t="s">
        <v>1703</v>
      </c>
      <c r="H34" s="705"/>
      <c r="I34" s="705">
        <f>I32+I33</f>
        <v>652946973</v>
      </c>
      <c r="J34" s="175">
        <f t="shared" si="6"/>
        <v>1</v>
      </c>
      <c r="K34" s="662">
        <f>+'Comun-Inversion'!H15</f>
        <v>1.4612937433722166</v>
      </c>
      <c r="L34" s="1137">
        <f>+L32/L33</f>
        <v>1.4612943751136729</v>
      </c>
      <c r="M34" s="473"/>
      <c r="N34" s="1129"/>
      <c r="P34" s="680"/>
      <c r="Q34" s="590"/>
    </row>
    <row r="35" spans="2:18" s="90" customFormat="1" ht="15">
      <c r="E35" s="1429"/>
      <c r="G35" s="1143" t="str">
        <f>B32</f>
        <v>V. Patrimonial</v>
      </c>
      <c r="H35" s="1144"/>
      <c r="I35" s="1332">
        <f>+D37</f>
        <v>2843935850.9518151</v>
      </c>
      <c r="J35" s="641"/>
      <c r="K35" s="1131">
        <f>K32/K33</f>
        <v>1.4612943751136731</v>
      </c>
      <c r="L35" s="1146">
        <f>L32*I32+L33*I33-I35</f>
        <v>0</v>
      </c>
      <c r="M35" s="699"/>
      <c r="N35" s="1145"/>
      <c r="O35" s="1148"/>
      <c r="P35" s="1034"/>
      <c r="Q35" s="590"/>
    </row>
    <row r="36" spans="2:18" s="90" customFormat="1" ht="31.5" customHeight="1" thickBot="1">
      <c r="B36" s="706"/>
      <c r="C36" s="707"/>
      <c r="D36" s="1430"/>
      <c r="E36" s="473"/>
      <c r="G36" s="1776" t="s">
        <v>1704</v>
      </c>
      <c r="H36" s="1777"/>
      <c r="I36" s="1331">
        <f>I35/I34</f>
        <v>4.3555387627960025</v>
      </c>
      <c r="J36" s="1130"/>
      <c r="K36" s="702"/>
      <c r="L36" s="1141"/>
      <c r="M36" s="1130"/>
      <c r="N36" s="1142"/>
    </row>
    <row r="37" spans="2:18" ht="15">
      <c r="B37" s="1305" t="str">
        <f>B32</f>
        <v>V. Patrimonial</v>
      </c>
      <c r="C37" s="1306"/>
      <c r="D37" s="1428">
        <f>D32*BG!K3</f>
        <v>2843935850.9518151</v>
      </c>
      <c r="E37" s="473"/>
      <c r="F37" s="495"/>
      <c r="G37" s="495"/>
      <c r="H37" s="495"/>
      <c r="I37" s="1125"/>
      <c r="J37" s="457"/>
      <c r="K37" s="473"/>
      <c r="L37" s="457"/>
      <c r="M37" s="457"/>
      <c r="N37" s="457"/>
    </row>
    <row r="38" spans="2:18" ht="15">
      <c r="B38" s="1307" t="s">
        <v>1773</v>
      </c>
      <c r="C38" s="1304"/>
      <c r="D38" s="1432">
        <f>I32</f>
        <v>580981459</v>
      </c>
      <c r="E38" s="473"/>
      <c r="F38" s="495"/>
      <c r="G38" s="495"/>
      <c r="H38" s="495"/>
      <c r="I38" s="1125"/>
      <c r="J38" s="457"/>
      <c r="K38" s="473"/>
      <c r="L38" s="457"/>
      <c r="M38" s="457"/>
      <c r="N38" s="457"/>
    </row>
    <row r="39" spans="2:18" ht="15.75" thickBot="1">
      <c r="B39" s="1433" t="s">
        <v>1774</v>
      </c>
      <c r="C39" s="1434"/>
      <c r="D39" s="1435">
        <f>I33</f>
        <v>71965514</v>
      </c>
      <c r="E39" s="473"/>
      <c r="F39" s="495"/>
      <c r="G39" s="495"/>
      <c r="H39" s="495"/>
      <c r="I39" s="1126"/>
      <c r="J39" s="457"/>
      <c r="K39" s="457"/>
      <c r="L39" s="457"/>
      <c r="M39" s="457"/>
      <c r="N39" s="457"/>
    </row>
    <row r="40" spans="2:18" ht="15.75" thickBot="1">
      <c r="B40" s="1309" t="s">
        <v>1772</v>
      </c>
      <c r="C40" s="1308"/>
      <c r="D40" s="1431">
        <f>L33</f>
        <v>3.0880443616943758</v>
      </c>
      <c r="E40" s="457"/>
      <c r="F40" s="495"/>
      <c r="G40" s="457"/>
      <c r="H40" s="457"/>
      <c r="I40" s="457"/>
      <c r="J40" s="1333"/>
      <c r="K40" s="457"/>
      <c r="L40" s="457"/>
      <c r="M40" s="457"/>
      <c r="N40" s="457"/>
    </row>
    <row r="41" spans="2:18" ht="15">
      <c r="B41" s="1304"/>
      <c r="C41" s="1304"/>
      <c r="D41" s="457"/>
      <c r="E41" s="457"/>
      <c r="F41" s="457"/>
      <c r="G41" s="620"/>
      <c r="H41" s="1481"/>
      <c r="I41" s="1303"/>
      <c r="J41" s="1482"/>
      <c r="K41" s="457"/>
      <c r="L41" s="457"/>
      <c r="M41" s="457"/>
      <c r="N41" s="457"/>
    </row>
    <row r="42" spans="2:18">
      <c r="D42" s="708"/>
      <c r="F42" s="1303"/>
      <c r="G42" s="620"/>
      <c r="H42" s="1481"/>
      <c r="I42" s="1303"/>
      <c r="J42" s="1482"/>
      <c r="K42" s="457"/>
      <c r="L42" s="457"/>
      <c r="M42" s="457"/>
    </row>
    <row r="43" spans="2:18">
      <c r="D43" s="457"/>
      <c r="F43" s="457"/>
      <c r="G43" s="620"/>
      <c r="H43" s="1481"/>
      <c r="I43" s="1303"/>
      <c r="J43" s="1482"/>
      <c r="K43" s="457"/>
      <c r="L43" s="457"/>
      <c r="M43" s="457"/>
    </row>
    <row r="44" spans="2:18">
      <c r="D44" s="621"/>
      <c r="F44" s="457"/>
      <c r="G44" s="457"/>
      <c r="H44" s="621"/>
      <c r="I44" s="457"/>
      <c r="J44" s="457"/>
      <c r="K44" s="457"/>
      <c r="L44" s="457"/>
      <c r="M44" s="457"/>
    </row>
    <row r="45" spans="2:18">
      <c r="D45" s="457"/>
      <c r="F45" s="457"/>
      <c r="G45" s="457"/>
      <c r="H45" s="621"/>
      <c r="I45" s="457"/>
      <c r="J45" s="457"/>
      <c r="K45" s="457"/>
      <c r="L45" s="457"/>
      <c r="M45" s="457"/>
    </row>
    <row r="46" spans="2:18">
      <c r="B46" s="457"/>
      <c r="C46" s="709"/>
      <c r="D46" s="457"/>
      <c r="F46" s="457"/>
      <c r="G46" s="457"/>
      <c r="H46" s="1478"/>
      <c r="I46" s="457"/>
    </row>
    <row r="47" spans="2:18">
      <c r="B47" s="80"/>
      <c r="C47" s="457"/>
      <c r="D47" s="457"/>
      <c r="F47" s="457"/>
      <c r="G47" s="457"/>
      <c r="H47" s="457"/>
      <c r="I47" s="457"/>
    </row>
    <row r="48" spans="2:18" s="1485" customFormat="1" ht="30">
      <c r="B48" s="1483"/>
      <c r="C48" s="1484"/>
      <c r="F48" s="1486"/>
      <c r="G48" s="1488" t="s">
        <v>1860</v>
      </c>
      <c r="H48" s="1488" t="s">
        <v>1859</v>
      </c>
      <c r="I48" s="1488" t="s">
        <v>1858</v>
      </c>
      <c r="J48" s="1489">
        <f>L33</f>
        <v>3.0880443616943758</v>
      </c>
      <c r="K48" s="1488" t="s">
        <v>1861</v>
      </c>
      <c r="L48" s="1487"/>
    </row>
    <row r="49" spans="3:12">
      <c r="C49" s="710"/>
      <c r="F49" s="628">
        <v>0.64</v>
      </c>
      <c r="G49" s="1315">
        <v>0.03</v>
      </c>
      <c r="H49" s="559">
        <f>+G49*AVERAGE('Costo de Produccion'!$T$30:$Y$30)</f>
        <v>1.4916900545338015E-2</v>
      </c>
      <c r="I49" s="1479">
        <v>0.65497230018177932</v>
      </c>
      <c r="J49" s="939">
        <f t="dataTable" ref="J49:J54" dt2D="0" dtr="0" r1="F49"/>
        <v>3.6684140351517791</v>
      </c>
      <c r="K49" s="522" t="s">
        <v>1770</v>
      </c>
      <c r="L49" s="457"/>
    </row>
    <row r="50" spans="3:12">
      <c r="F50" s="1303"/>
      <c r="G50" s="1315">
        <v>0.05</v>
      </c>
      <c r="H50" s="559">
        <f>+G50*AVERAGE('Costo de Produccion'!$T$30:$Y$30)</f>
        <v>2.4861500908896692E-2</v>
      </c>
      <c r="I50" s="1479">
        <v>0.66491690054533803</v>
      </c>
      <c r="J50" s="939">
        <v>4.0538955173282218</v>
      </c>
      <c r="K50" s="522" t="s">
        <v>1770</v>
      </c>
      <c r="L50" s="457"/>
    </row>
    <row r="51" spans="3:12">
      <c r="C51" s="710"/>
      <c r="F51" s="457"/>
      <c r="G51" s="1315">
        <v>7.0000000000000007E-2</v>
      </c>
      <c r="H51" s="559">
        <f>+G51*AVERAGE('Costo de Produccion'!$T$30:$Y$30)</f>
        <v>3.480610127245537E-2</v>
      </c>
      <c r="I51" s="1479">
        <v>0.67486150090889674</v>
      </c>
      <c r="J51" s="939">
        <v>4.4393769995046606</v>
      </c>
      <c r="K51" s="522" t="s">
        <v>1770</v>
      </c>
      <c r="L51" s="457"/>
    </row>
    <row r="52" spans="3:12">
      <c r="G52" s="1315">
        <v>0.09</v>
      </c>
      <c r="H52" s="559">
        <f>+G52*AVERAGE('Costo de Produccion'!$T$30:$Y$30)</f>
        <v>4.4750701636014044E-2</v>
      </c>
      <c r="I52" s="1479">
        <f>+$F$49+H52</f>
        <v>0.68475070163601404</v>
      </c>
      <c r="J52" s="939">
        <v>6.1740436692986407</v>
      </c>
      <c r="K52" s="522" t="s">
        <v>1770</v>
      </c>
      <c r="L52" s="457"/>
    </row>
    <row r="53" spans="3:12">
      <c r="G53" s="1315">
        <v>0.11</v>
      </c>
      <c r="H53" s="559">
        <f>+G53*AVERAGE('Costo de Produccion'!$T$30:$Y$30)</f>
        <v>5.4695301999572725E-2</v>
      </c>
      <c r="I53" s="1479">
        <f>+$F$49+H53</f>
        <v>0.69469530199957275</v>
      </c>
      <c r="J53" s="939">
        <v>8.2941918212690755</v>
      </c>
      <c r="K53" s="522" t="s">
        <v>1857</v>
      </c>
      <c r="L53" s="457"/>
    </row>
    <row r="54" spans="3:12">
      <c r="G54" s="1315">
        <v>0.13</v>
      </c>
      <c r="H54" s="559">
        <f>+G54*AVERAGE('Costo de Produccion'!$T$30:$Y$30)</f>
        <v>6.4639902363131399E-2</v>
      </c>
      <c r="I54" s="1479">
        <f>+$F$49+H54</f>
        <v>0.70463990236313145</v>
      </c>
      <c r="J54" s="939">
        <v>10.799821455415945</v>
      </c>
      <c r="K54" s="522" t="s">
        <v>1771</v>
      </c>
      <c r="L54" s="457"/>
    </row>
  </sheetData>
  <mergeCells count="3">
    <mergeCell ref="H28:I28"/>
    <mergeCell ref="G27:N27"/>
    <mergeCell ref="G36:H36"/>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R66"/>
  <sheetViews>
    <sheetView showGridLines="0" zoomScale="90" zoomScaleNormal="90" workbookViewId="0">
      <pane ySplit="3" topLeftCell="A31" activePane="bottomLeft" state="frozen"/>
      <selection pane="bottomLeft" activeCell="E41" sqref="E41"/>
    </sheetView>
  </sheetViews>
  <sheetFormatPr baseColWidth="10" defaultColWidth="9.140625" defaultRowHeight="12.75"/>
  <cols>
    <col min="1" max="1" width="3.28515625" style="57" customWidth="1"/>
    <col min="2" max="2" width="21.28515625" style="57" bestFit="1" customWidth="1"/>
    <col min="3" max="3" width="29" style="57" customWidth="1"/>
    <col min="4" max="4" width="31.7109375" style="57" bestFit="1" customWidth="1"/>
    <col min="5" max="5" width="18.7109375" style="57" bestFit="1" customWidth="1"/>
    <col min="6" max="6" width="15.28515625" style="57" customWidth="1"/>
    <col min="7" max="7" width="15.7109375" style="57" customWidth="1"/>
    <col min="8" max="8" width="12.5703125" style="57" customWidth="1"/>
    <col min="9" max="9" width="8.42578125" style="57" bestFit="1" customWidth="1"/>
    <col min="10" max="10" width="20.42578125" style="57" bestFit="1" customWidth="1"/>
    <col min="11" max="11" width="13.42578125" style="57" customWidth="1"/>
    <col min="12" max="12" width="12" style="57" customWidth="1"/>
    <col min="13" max="13" width="14" style="57" bestFit="1" customWidth="1"/>
    <col min="14" max="14" width="15.140625" style="57" bestFit="1" customWidth="1"/>
    <col min="15" max="15" width="13.42578125" style="57" bestFit="1" customWidth="1"/>
    <col min="16" max="16" width="13.7109375" style="57" bestFit="1" customWidth="1"/>
    <col min="17" max="17" width="16.140625" style="57" bestFit="1" customWidth="1"/>
    <col min="18" max="16384" width="9.140625" style="57"/>
  </cols>
  <sheetData>
    <row r="1" spans="2:18" ht="18">
      <c r="B1" s="1256" t="s">
        <v>1483</v>
      </c>
    </row>
    <row r="2" spans="2:18" ht="15">
      <c r="B2" s="1255" t="s">
        <v>1946</v>
      </c>
    </row>
    <row r="3" spans="2:18" ht="15">
      <c r="B3" s="1255" t="s">
        <v>1947</v>
      </c>
    </row>
    <row r="5" spans="2:18">
      <c r="B5" s="57" t="s">
        <v>1484</v>
      </c>
      <c r="C5" s="57" t="s">
        <v>1485</v>
      </c>
    </row>
    <row r="6" spans="2:18">
      <c r="B6" s="57" t="s">
        <v>1486</v>
      </c>
      <c r="F6" s="56"/>
    </row>
    <row r="7" spans="2:18">
      <c r="B7" s="1285" t="s">
        <v>1487</v>
      </c>
      <c r="C7" s="1285" t="s">
        <v>1488</v>
      </c>
      <c r="D7" s="1285" t="s">
        <v>1489</v>
      </c>
      <c r="E7" s="1282" t="s">
        <v>1721</v>
      </c>
      <c r="F7" s="1528"/>
      <c r="G7" s="56"/>
      <c r="H7" s="58"/>
      <c r="I7" s="58"/>
      <c r="J7" s="58"/>
      <c r="K7" s="58"/>
      <c r="L7" s="58"/>
      <c r="M7" s="58"/>
      <c r="O7" s="58"/>
      <c r="P7" s="56"/>
      <c r="Q7" s="56"/>
      <c r="R7" s="56"/>
    </row>
    <row r="8" spans="2:18">
      <c r="B8" s="1330" t="s">
        <v>1490</v>
      </c>
      <c r="C8" s="1330" t="s">
        <v>401</v>
      </c>
      <c r="D8" s="1330" t="s">
        <v>813</v>
      </c>
      <c r="E8" s="1334">
        <v>8.3388770000000001</v>
      </c>
      <c r="F8" s="1338"/>
      <c r="G8" s="1365"/>
      <c r="H8" s="1381"/>
    </row>
    <row r="9" spans="2:18">
      <c r="B9" s="1330" t="s">
        <v>1491</v>
      </c>
      <c r="C9" s="1330" t="s">
        <v>1492</v>
      </c>
      <c r="D9" s="1330" t="s">
        <v>204</v>
      </c>
      <c r="E9" s="1334">
        <v>8.6070580000000003</v>
      </c>
      <c r="F9" s="1338"/>
      <c r="G9" s="85"/>
      <c r="H9" s="1381"/>
    </row>
    <row r="10" spans="2:18">
      <c r="B10" s="1330" t="s">
        <v>1493</v>
      </c>
      <c r="C10" s="1330" t="s">
        <v>1494</v>
      </c>
      <c r="D10" s="1330" t="s">
        <v>207</v>
      </c>
      <c r="E10" s="1334">
        <v>13.285621000000001</v>
      </c>
      <c r="F10" s="1338"/>
      <c r="G10" s="85"/>
      <c r="H10" s="1381"/>
    </row>
    <row r="11" spans="2:18">
      <c r="B11" s="1330" t="s">
        <v>1495</v>
      </c>
      <c r="C11" s="1330" t="s">
        <v>1496</v>
      </c>
      <c r="D11" s="1330" t="s">
        <v>207</v>
      </c>
      <c r="E11" s="1334">
        <v>7.7388760000000003</v>
      </c>
      <c r="F11" s="1338"/>
      <c r="G11" s="85"/>
      <c r="H11" s="1381"/>
    </row>
    <row r="12" spans="2:18">
      <c r="B12" s="1330" t="s">
        <v>1497</v>
      </c>
      <c r="C12" s="1330" t="s">
        <v>1498</v>
      </c>
      <c r="D12" s="1330" t="s">
        <v>207</v>
      </c>
      <c r="E12" s="1334">
        <v>10.516999</v>
      </c>
      <c r="F12" s="1338"/>
      <c r="G12" s="85"/>
      <c r="H12" s="1381"/>
    </row>
    <row r="13" spans="2:18">
      <c r="B13" s="1330" t="s">
        <v>1499</v>
      </c>
      <c r="C13" s="1330" t="s">
        <v>1500</v>
      </c>
      <c r="D13" s="1330" t="s">
        <v>207</v>
      </c>
      <c r="E13" s="1334">
        <v>14.981906</v>
      </c>
      <c r="F13" s="1338"/>
      <c r="H13" s="1381"/>
    </row>
    <row r="14" spans="2:18">
      <c r="E14" s="946"/>
      <c r="F14" s="1251"/>
    </row>
    <row r="15" spans="2:18">
      <c r="E15" s="946"/>
      <c r="F15" s="1251"/>
    </row>
    <row r="16" spans="2:18">
      <c r="B16" s="56" t="s">
        <v>1487</v>
      </c>
      <c r="C16" s="56"/>
      <c r="D16" s="1249" t="s">
        <v>1488</v>
      </c>
      <c r="E16" s="1282" t="s">
        <v>1721</v>
      </c>
      <c r="F16" s="1528"/>
      <c r="G16" s="56"/>
      <c r="H16" s="58"/>
      <c r="I16" s="58"/>
      <c r="J16" s="58"/>
      <c r="K16" s="58"/>
      <c r="L16" s="58"/>
      <c r="M16" s="58"/>
      <c r="O16" s="58"/>
      <c r="P16" s="56"/>
      <c r="Q16" s="56"/>
      <c r="R16" s="56"/>
    </row>
    <row r="17" spans="2:13">
      <c r="B17" s="57" t="s">
        <v>1501</v>
      </c>
      <c r="D17" s="1250" t="s">
        <v>1501</v>
      </c>
      <c r="E17" s="1334">
        <f>+MAX(E9:E13)</f>
        <v>14.981906</v>
      </c>
      <c r="F17" s="1338"/>
    </row>
    <row r="18" spans="2:13">
      <c r="B18" s="57" t="s">
        <v>1502</v>
      </c>
      <c r="D18" s="1250" t="s">
        <v>1502</v>
      </c>
      <c r="E18" s="1334">
        <f>+MIN(E9:E13)</f>
        <v>7.7388760000000003</v>
      </c>
      <c r="F18" s="1338"/>
    </row>
    <row r="19" spans="2:13">
      <c r="B19" s="57" t="s">
        <v>1503</v>
      </c>
      <c r="D19" s="1250" t="s">
        <v>1503</v>
      </c>
      <c r="E19" s="1283">
        <f>+AVERAGE(E9:E13)</f>
        <v>11.026092000000002</v>
      </c>
      <c r="F19" s="1338"/>
    </row>
    <row r="20" spans="2:13">
      <c r="D20" s="1252" t="s">
        <v>1455</v>
      </c>
      <c r="E20" s="1283">
        <f>+MEDIAN(E9:E13)</f>
        <v>10.516999</v>
      </c>
      <c r="F20" s="1338"/>
    </row>
    <row r="23" spans="2:13">
      <c r="D23" s="1258"/>
      <c r="E23" s="1260" t="s">
        <v>1455</v>
      </c>
      <c r="F23" s="1336"/>
    </row>
    <row r="24" spans="2:13">
      <c r="D24" s="1261" t="s">
        <v>1721</v>
      </c>
      <c r="E24" s="1527">
        <f>+E20</f>
        <v>10.516999</v>
      </c>
      <c r="F24" s="1337"/>
    </row>
    <row r="25" spans="2:13">
      <c r="C25" s="58"/>
      <c r="D25" s="58"/>
    </row>
    <row r="26" spans="2:13">
      <c r="C26" s="58"/>
      <c r="D26" s="58"/>
    </row>
    <row r="27" spans="2:13" s="59" customFormat="1"/>
    <row r="28" spans="2:13" ht="25.5">
      <c r="C28" s="1348" t="s">
        <v>1504</v>
      </c>
      <c r="D28" s="1335" t="s">
        <v>1489</v>
      </c>
      <c r="E28" s="1335" t="s">
        <v>1505</v>
      </c>
      <c r="F28" s="1335" t="s">
        <v>1506</v>
      </c>
      <c r="G28" s="1335" t="s">
        <v>1507</v>
      </c>
      <c r="H28" s="1349" t="s">
        <v>1508</v>
      </c>
      <c r="I28" s="59"/>
      <c r="J28" s="59"/>
      <c r="K28" s="59"/>
      <c r="L28" s="59"/>
      <c r="M28" s="59"/>
    </row>
    <row r="29" spans="2:13">
      <c r="C29" s="1341" t="s">
        <v>1483</v>
      </c>
      <c r="D29" s="1330" t="s">
        <v>813</v>
      </c>
      <c r="E29" s="1330" t="s">
        <v>1509</v>
      </c>
      <c r="F29" s="1334">
        <v>618.35817599999996</v>
      </c>
      <c r="G29" s="1280" t="s">
        <v>1510</v>
      </c>
      <c r="H29" s="1342" t="s">
        <v>1510</v>
      </c>
    </row>
    <row r="30" spans="2:13">
      <c r="C30" s="1341" t="s">
        <v>1786</v>
      </c>
      <c r="D30" s="1330" t="s">
        <v>204</v>
      </c>
      <c r="E30" s="1330" t="s">
        <v>1509</v>
      </c>
      <c r="F30" s="1283">
        <v>2611.5516950000001</v>
      </c>
      <c r="G30" s="1280" t="s">
        <v>1510</v>
      </c>
      <c r="H30" s="1342" t="s">
        <v>1510</v>
      </c>
    </row>
    <row r="31" spans="2:13">
      <c r="C31" s="1341" t="s">
        <v>894</v>
      </c>
      <c r="D31" s="1330" t="s">
        <v>207</v>
      </c>
      <c r="E31" s="1330" t="s">
        <v>1509</v>
      </c>
      <c r="F31" s="1283">
        <v>9784.3201939999999</v>
      </c>
      <c r="G31" s="1280" t="s">
        <v>1510</v>
      </c>
      <c r="H31" s="1342" t="s">
        <v>1510</v>
      </c>
    </row>
    <row r="32" spans="2:13">
      <c r="C32" s="1341" t="s">
        <v>1787</v>
      </c>
      <c r="D32" s="1330" t="s">
        <v>204</v>
      </c>
      <c r="E32" s="1330" t="s">
        <v>1509</v>
      </c>
      <c r="F32" s="1283">
        <v>735.35181299999999</v>
      </c>
      <c r="G32" s="1280"/>
      <c r="H32" s="1342" t="s">
        <v>1510</v>
      </c>
    </row>
    <row r="33" spans="3:12">
      <c r="C33" s="1341" t="s">
        <v>1788</v>
      </c>
      <c r="D33" s="1330" t="s">
        <v>207</v>
      </c>
      <c r="E33" s="1330" t="s">
        <v>1509</v>
      </c>
      <c r="F33" s="1283">
        <v>976.65793599999995</v>
      </c>
      <c r="G33" s="1280" t="s">
        <v>1510</v>
      </c>
      <c r="H33" s="1342" t="s">
        <v>1510</v>
      </c>
    </row>
    <row r="34" spans="3:12">
      <c r="C34" s="1341" t="s">
        <v>1789</v>
      </c>
      <c r="D34" s="1330" t="s">
        <v>207</v>
      </c>
      <c r="E34" s="1330" t="s">
        <v>1509</v>
      </c>
      <c r="F34" s="1283">
        <v>16039.252455598831</v>
      </c>
      <c r="G34" s="1280" t="s">
        <v>1510</v>
      </c>
      <c r="H34" s="1342" t="s">
        <v>1510</v>
      </c>
    </row>
    <row r="35" spans="3:12">
      <c r="C35" s="1341" t="s">
        <v>1790</v>
      </c>
      <c r="D35" s="1330" t="s">
        <v>207</v>
      </c>
      <c r="E35" s="1330" t="s">
        <v>1509</v>
      </c>
      <c r="F35" s="1283">
        <v>33569.531407000002</v>
      </c>
      <c r="G35" s="1280" t="s">
        <v>1510</v>
      </c>
      <c r="H35" s="1342" t="s">
        <v>1510</v>
      </c>
    </row>
    <row r="36" spans="3:12">
      <c r="C36" s="1343" t="s">
        <v>1791</v>
      </c>
      <c r="D36" s="1344" t="s">
        <v>204</v>
      </c>
      <c r="E36" s="1344" t="s">
        <v>1509</v>
      </c>
      <c r="F36" s="1345">
        <v>4088.2056400000001</v>
      </c>
      <c r="G36" s="1346"/>
      <c r="H36" s="1347"/>
    </row>
    <row r="40" spans="3:12">
      <c r="D40" s="1280"/>
      <c r="E40" s="1281" t="s">
        <v>1455</v>
      </c>
      <c r="G40" s="1336"/>
      <c r="J40" s="1264" t="s">
        <v>1511</v>
      </c>
      <c r="K40" s="1259" t="s">
        <v>776</v>
      </c>
      <c r="L40" s="1260" t="s">
        <v>1512</v>
      </c>
    </row>
    <row r="41" spans="3:12">
      <c r="D41" s="1282" t="s">
        <v>1721</v>
      </c>
      <c r="E41" s="1283">
        <f>+E24</f>
        <v>10.516999</v>
      </c>
      <c r="G41" s="1257"/>
      <c r="J41" s="1262">
        <f>+Ratios!C108*1000</f>
        <v>113994134.89736055</v>
      </c>
      <c r="K41" s="1263">
        <f>+Kd!F13</f>
        <v>617988118.78026402</v>
      </c>
      <c r="L41" s="1254">
        <f>+BG!K6*1000</f>
        <v>83236070.381231666</v>
      </c>
    </row>
    <row r="42" spans="3:12">
      <c r="D42" s="1282" t="s">
        <v>1513</v>
      </c>
      <c r="E42" s="1284">
        <f>+$J$41*E41</f>
        <v>1198876202.721406</v>
      </c>
      <c r="G42" s="1338"/>
    </row>
    <row r="43" spans="3:12">
      <c r="D43" s="1285" t="s">
        <v>1722</v>
      </c>
      <c r="E43" s="1420">
        <f>(E42-($K$41)+$L$41)/($K$44+$K$45)</f>
        <v>1.0171180536621824</v>
      </c>
      <c r="G43" s="1339"/>
      <c r="J43" s="942"/>
      <c r="K43" s="943" t="s">
        <v>0</v>
      </c>
    </row>
    <row r="44" spans="3:12">
      <c r="D44" s="1285" t="s">
        <v>1779</v>
      </c>
      <c r="E44" s="1419">
        <f>+E43*H54*BG!K3</f>
        <v>2.4590515547716154</v>
      </c>
      <c r="G44" s="1340"/>
      <c r="J44" s="944" t="s">
        <v>2</v>
      </c>
      <c r="K44" s="945">
        <v>580981459</v>
      </c>
    </row>
    <row r="45" spans="3:12">
      <c r="E45" s="60"/>
      <c r="F45" s="60"/>
      <c r="G45" s="60"/>
      <c r="J45" s="944" t="s">
        <v>4</v>
      </c>
      <c r="K45" s="945">
        <v>71965514</v>
      </c>
    </row>
    <row r="48" spans="3:12" ht="15">
      <c r="D48" s="1778" t="s">
        <v>1769</v>
      </c>
      <c r="E48" s="1779"/>
      <c r="F48" s="1779"/>
      <c r="G48" s="1779"/>
      <c r="H48" s="1779"/>
      <c r="I48" s="1779"/>
      <c r="J48" s="1779"/>
      <c r="K48" s="1780"/>
    </row>
    <row r="49" spans="4:11" ht="38.25">
      <c r="D49" s="1294"/>
      <c r="E49" s="1772" t="s">
        <v>1758</v>
      </c>
      <c r="F49" s="1772"/>
      <c r="G49" s="1128" t="s">
        <v>1756</v>
      </c>
      <c r="H49" s="1128" t="s">
        <v>795</v>
      </c>
      <c r="I49" s="1134" t="s">
        <v>1760</v>
      </c>
      <c r="J49" s="1135" t="s">
        <v>1757</v>
      </c>
      <c r="K49" s="1295" t="s">
        <v>1759</v>
      </c>
    </row>
    <row r="50" spans="4:11" ht="14.25">
      <c r="D50" s="174" t="s">
        <v>1700</v>
      </c>
      <c r="E50" s="695"/>
      <c r="F50" s="695">
        <v>223774704</v>
      </c>
      <c r="G50" s="175">
        <f>+F50/F55</f>
        <v>0.34271497265980894</v>
      </c>
      <c r="H50" s="473"/>
      <c r="I50" s="1417">
        <f>I53</f>
        <v>3.593396010848696</v>
      </c>
      <c r="J50" s="1411"/>
      <c r="K50" s="1412">
        <f>'Flujo de Caja'!N29</f>
        <v>7.632796878189148</v>
      </c>
    </row>
    <row r="51" spans="4:11" ht="14.25">
      <c r="D51" s="174" t="s">
        <v>1701</v>
      </c>
      <c r="E51" s="695"/>
      <c r="F51" s="695">
        <v>329870528</v>
      </c>
      <c r="G51" s="175">
        <f>+F51/F55</f>
        <v>0.50520262998447196</v>
      </c>
      <c r="H51" s="473"/>
      <c r="I51" s="1417">
        <f>I53</f>
        <v>3.593396010848696</v>
      </c>
      <c r="J51" s="1411"/>
      <c r="K51" s="1412">
        <f>'Flujo de Caja'!N30</f>
        <v>7.632796878189148</v>
      </c>
    </row>
    <row r="52" spans="4:11" ht="14.25">
      <c r="D52" s="179" t="s">
        <v>1702</v>
      </c>
      <c r="E52" s="700"/>
      <c r="F52" s="700">
        <v>27336227</v>
      </c>
      <c r="G52" s="1131">
        <f>+F52/F55</f>
        <v>4.186592193605284E-2</v>
      </c>
      <c r="H52" s="699"/>
      <c r="I52" s="1418">
        <f>I53</f>
        <v>3.593396010848696</v>
      </c>
      <c r="J52" s="1413"/>
      <c r="K52" s="1414">
        <f>'Flujo de Caja'!N31</f>
        <v>7.632796878189148</v>
      </c>
    </row>
    <row r="53" spans="4:11" ht="14.25">
      <c r="D53" s="174" t="s">
        <v>2</v>
      </c>
      <c r="E53" s="695"/>
      <c r="F53" s="695">
        <f>SUM(F50:F52)</f>
        <v>580981459</v>
      </c>
      <c r="G53" s="175">
        <f>+F53/F55</f>
        <v>0.88978352458033372</v>
      </c>
      <c r="H53" s="177">
        <v>1.0360467180471942</v>
      </c>
      <c r="I53" s="1411">
        <f>+H53*F56*BG!K3</f>
        <v>3.593396010848696</v>
      </c>
      <c r="J53" s="1411"/>
      <c r="K53" s="1412">
        <f>'Flujo de Caja'!N32</f>
        <v>7.632796878189148</v>
      </c>
    </row>
    <row r="54" spans="4:11" ht="15">
      <c r="D54" s="1290" t="s">
        <v>1699</v>
      </c>
      <c r="E54" s="1286"/>
      <c r="F54" s="1286">
        <v>71965514</v>
      </c>
      <c r="G54" s="1287">
        <f>+F54/F55</f>
        <v>0.11021647541966628</v>
      </c>
      <c r="H54" s="1288">
        <v>0.70899290953135519</v>
      </c>
      <c r="I54" s="1415">
        <f>F56*H54*BG!K3</f>
        <v>2.4590515547716154</v>
      </c>
      <c r="J54" s="1415">
        <f>'Flujo de Caja'!M33</f>
        <v>2.75</v>
      </c>
      <c r="K54" s="1416">
        <f>'Flujo de Caja'!N33</f>
        <v>3.0348999395763205</v>
      </c>
    </row>
    <row r="55" spans="4:11" ht="15">
      <c r="D55" s="1296" t="s">
        <v>1703</v>
      </c>
      <c r="E55" s="1297"/>
      <c r="F55" s="1297">
        <f>F53+F54</f>
        <v>652946973</v>
      </c>
      <c r="G55" s="1298">
        <f>+SUM(G53:G54)</f>
        <v>1</v>
      </c>
      <c r="H55" s="1299" t="str">
        <f>+'Comun-Inversion'!E57</f>
        <v>FACTOR</v>
      </c>
      <c r="I55" s="1300">
        <f>+I53/I54</f>
        <v>1.4612934827966357</v>
      </c>
      <c r="J55" s="1301"/>
      <c r="K55" s="1302"/>
    </row>
    <row r="56" spans="4:11" ht="15">
      <c r="D56" s="1250" t="s">
        <v>1767</v>
      </c>
      <c r="E56" s="1251"/>
      <c r="F56" s="1423">
        <f>+E43</f>
        <v>1.0171180536621824</v>
      </c>
      <c r="G56" s="1251"/>
      <c r="H56" s="175">
        <f>H53/H54</f>
        <v>1.4612934827966357</v>
      </c>
      <c r="I56" s="1289"/>
      <c r="J56" s="473"/>
      <c r="K56" s="1291"/>
    </row>
    <row r="57" spans="4:11">
      <c r="D57" s="1252" t="s">
        <v>1768</v>
      </c>
      <c r="E57" s="1253"/>
      <c r="F57" s="1292">
        <f>+G43</f>
        <v>0</v>
      </c>
      <c r="G57" s="1253"/>
      <c r="H57" s="1253"/>
      <c r="I57" s="1253"/>
      <c r="J57" s="1253"/>
      <c r="K57" s="1293"/>
    </row>
    <row r="61" spans="4:11">
      <c r="D61" s="1330"/>
      <c r="E61" s="1285" t="s">
        <v>1784</v>
      </c>
    </row>
    <row r="62" spans="4:11">
      <c r="D62" s="1330" t="s">
        <v>1780</v>
      </c>
      <c r="E62" s="1421">
        <v>1</v>
      </c>
    </row>
    <row r="63" spans="4:11">
      <c r="D63" s="1330" t="s">
        <v>1781</v>
      </c>
      <c r="E63" s="1421">
        <f>+'Flujo de Caja'!L33</f>
        <v>3.0880443616943758</v>
      </c>
    </row>
    <row r="64" spans="4:11">
      <c r="D64" s="1330" t="s">
        <v>1782</v>
      </c>
      <c r="E64" s="1422">
        <f>+E44</f>
        <v>2.4590515547716154</v>
      </c>
    </row>
    <row r="65" spans="4:5">
      <c r="D65" s="1330" t="s">
        <v>1785</v>
      </c>
      <c r="E65" s="1421">
        <f>+Factor!O13*BG!K3</f>
        <v>3.0348999395763205</v>
      </c>
    </row>
    <row r="66" spans="4:5">
      <c r="D66" s="1330" t="s">
        <v>1783</v>
      </c>
      <c r="E66" s="1421">
        <v>2.75</v>
      </c>
    </row>
  </sheetData>
  <mergeCells count="2">
    <mergeCell ref="D48:K48"/>
    <mergeCell ref="E49:F49"/>
  </mergeCells>
  <pageMargins left="0.75" right="0.75" top="1" bottom="1" header="0.5" footer="0.5"/>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W107"/>
  <sheetViews>
    <sheetView showGridLines="0" zoomScale="90" zoomScaleNormal="90" workbookViewId="0">
      <pane ySplit="5" topLeftCell="A6" activePane="bottomLeft" state="frozen"/>
      <selection pane="bottomLeft" activeCell="J19" sqref="J19"/>
    </sheetView>
  </sheetViews>
  <sheetFormatPr baseColWidth="10" defaultRowHeight="15"/>
  <cols>
    <col min="1" max="4" width="9.28515625" customWidth="1"/>
    <col min="5" max="15" width="9" customWidth="1"/>
  </cols>
  <sheetData>
    <row r="1" spans="1:23" ht="23.25">
      <c r="A1" s="1448" t="s">
        <v>401</v>
      </c>
      <c r="B1" s="1437"/>
      <c r="C1" s="1437"/>
      <c r="D1" s="1437"/>
      <c r="E1" s="1437"/>
      <c r="F1" s="1437"/>
      <c r="G1" s="1437"/>
      <c r="H1" s="1437"/>
      <c r="I1" s="1437"/>
      <c r="J1" s="1437"/>
      <c r="K1" s="1437"/>
      <c r="L1" s="1437"/>
      <c r="M1" s="1437"/>
      <c r="N1" s="1437"/>
      <c r="O1" s="1437"/>
    </row>
    <row r="2" spans="1:23">
      <c r="A2" s="1449" t="s">
        <v>1848</v>
      </c>
      <c r="B2" s="1437"/>
      <c r="C2" s="1437"/>
      <c r="D2" s="1437"/>
      <c r="E2" s="1437"/>
      <c r="F2" s="1437"/>
      <c r="G2" s="1437"/>
      <c r="H2" s="1437"/>
      <c r="I2" s="1437"/>
      <c r="J2" s="1437"/>
      <c r="K2" s="1437"/>
      <c r="L2" s="1437"/>
      <c r="M2" s="1437"/>
      <c r="N2" s="1437"/>
      <c r="O2" s="1437"/>
    </row>
    <row r="3" spans="1:23">
      <c r="A3" s="1437"/>
      <c r="B3" s="1437"/>
      <c r="C3" s="1437"/>
      <c r="D3" s="1438"/>
      <c r="E3" s="1437"/>
      <c r="F3" s="1437"/>
      <c r="G3" s="1437"/>
      <c r="H3" s="1437"/>
      <c r="I3" s="1437"/>
      <c r="J3" s="1437"/>
      <c r="K3" s="1785" t="s">
        <v>1809</v>
      </c>
      <c r="L3" s="1786"/>
      <c r="M3" s="1787"/>
      <c r="N3" s="1787"/>
      <c r="O3" s="1787"/>
    </row>
    <row r="4" spans="1:23" s="1490" customFormat="1">
      <c r="D4" s="1491"/>
      <c r="E4" s="1492" t="s">
        <v>1810</v>
      </c>
      <c r="F4" s="1492" t="s">
        <v>1811</v>
      </c>
      <c r="G4" s="1492" t="s">
        <v>1812</v>
      </c>
      <c r="H4" s="1492" t="s">
        <v>1813</v>
      </c>
      <c r="I4" s="1492" t="s">
        <v>1814</v>
      </c>
      <c r="J4" s="1492" t="s">
        <v>1815</v>
      </c>
      <c r="K4" s="1492" t="s">
        <v>1816</v>
      </c>
      <c r="L4" s="1492" t="s">
        <v>1817</v>
      </c>
      <c r="M4" s="1492" t="s">
        <v>1818</v>
      </c>
      <c r="N4" s="1492" t="s">
        <v>1844</v>
      </c>
      <c r="O4" s="1492" t="s">
        <v>1845</v>
      </c>
    </row>
    <row r="5" spans="1:23" s="1037" customFormat="1">
      <c r="A5" s="1788" t="s">
        <v>1819</v>
      </c>
      <c r="B5" s="1788"/>
      <c r="C5" s="1788"/>
      <c r="D5" s="1788"/>
      <c r="E5" s="1587" t="s">
        <v>1820</v>
      </c>
      <c r="F5" s="1587" t="s">
        <v>1821</v>
      </c>
      <c r="G5" s="1587" t="s">
        <v>1822</v>
      </c>
      <c r="H5" s="1587" t="s">
        <v>1823</v>
      </c>
      <c r="I5" s="1587" t="s">
        <v>1824</v>
      </c>
      <c r="J5" s="1587" t="s">
        <v>1825</v>
      </c>
      <c r="K5" s="1587" t="s">
        <v>1826</v>
      </c>
      <c r="L5" s="1587" t="s">
        <v>1827</v>
      </c>
      <c r="M5" s="1587" t="s">
        <v>1828</v>
      </c>
      <c r="N5" s="1587" t="s">
        <v>1846</v>
      </c>
      <c r="O5" s="1587" t="s">
        <v>1847</v>
      </c>
    </row>
    <row r="6" spans="1:23" ht="6.75" customHeight="1">
      <c r="A6" s="1437"/>
      <c r="B6" s="1437"/>
      <c r="C6" s="1437"/>
      <c r="D6" s="1439"/>
      <c r="E6" s="1441"/>
      <c r="F6" s="1441"/>
      <c r="G6" s="1441"/>
      <c r="H6" s="1441"/>
      <c r="I6" s="1441"/>
      <c r="J6" s="1441"/>
      <c r="K6" s="1440"/>
      <c r="L6" s="1440"/>
      <c r="M6" s="1440"/>
      <c r="N6" s="1440"/>
      <c r="O6" s="1440"/>
    </row>
    <row r="7" spans="1:23" s="1037" customFormat="1" ht="18.75">
      <c r="A7" s="1592" t="s">
        <v>1948</v>
      </c>
      <c r="B7" s="1592"/>
      <c r="C7" s="1592"/>
      <c r="D7" s="1592"/>
      <c r="E7" s="1592"/>
      <c r="F7" s="1592"/>
      <c r="G7" s="1592"/>
      <c r="H7" s="1592"/>
      <c r="I7" s="1592"/>
      <c r="J7" s="1592"/>
      <c r="K7" s="1592"/>
      <c r="L7" s="1592"/>
      <c r="M7" s="1592"/>
      <c r="N7" s="1592"/>
      <c r="O7" s="1592"/>
    </row>
    <row r="8" spans="1:23" s="1037" customFormat="1" ht="18.75">
      <c r="A8" s="1588" t="s">
        <v>1949</v>
      </c>
      <c r="B8" s="1589"/>
      <c r="C8" s="1589"/>
      <c r="D8" s="1589"/>
      <c r="E8" s="1590">
        <v>2010</v>
      </c>
      <c r="F8" s="1590">
        <v>2011</v>
      </c>
      <c r="G8" s="1590">
        <v>2012</v>
      </c>
      <c r="H8" s="1590">
        <v>2013</v>
      </c>
      <c r="I8" s="1590">
        <v>2014</v>
      </c>
      <c r="J8" s="1590">
        <v>2015</v>
      </c>
      <c r="K8" s="1591" t="s">
        <v>808</v>
      </c>
      <c r="L8" s="1591" t="s">
        <v>809</v>
      </c>
      <c r="M8" s="1591" t="s">
        <v>810</v>
      </c>
      <c r="N8" s="1591" t="s">
        <v>811</v>
      </c>
      <c r="O8" s="1591" t="s">
        <v>812</v>
      </c>
    </row>
    <row r="9" spans="1:23">
      <c r="A9" s="1781" t="s">
        <v>1950</v>
      </c>
      <c r="B9" s="1782"/>
      <c r="C9" s="1782"/>
      <c r="D9" s="1782"/>
      <c r="E9" s="1594">
        <f>ER!P11/1000</f>
        <v>547.54325382698471</v>
      </c>
      <c r="F9" s="1594">
        <f>ER!O11/1000</f>
        <v>655.47348906192065</v>
      </c>
      <c r="G9" s="1594">
        <f>ER!N11/1000</f>
        <v>804.0192081536652</v>
      </c>
      <c r="H9" s="1594">
        <f>ER!M11/1000</f>
        <v>756.7997138769673</v>
      </c>
      <c r="I9" s="1594">
        <f>ER!L11/1000</f>
        <v>745.42575250836114</v>
      </c>
      <c r="J9" s="1594">
        <f>ER!K11/1000</f>
        <v>718.01906158357758</v>
      </c>
      <c r="K9" s="1595">
        <f>'Flujo de Caja'!E11/1000</f>
        <v>806.96927569980789</v>
      </c>
      <c r="L9" s="1595">
        <f>'Flujo de Caja'!F11/1000</f>
        <v>870.62809615714241</v>
      </c>
      <c r="M9" s="1595">
        <f>'Flujo de Caja'!G11/1000</f>
        <v>935.18706474920668</v>
      </c>
      <c r="N9" s="1595">
        <f>'Flujo de Caja'!H11/1000</f>
        <v>995.76901863960643</v>
      </c>
      <c r="O9" s="1596">
        <f>'Flujo de Caja'!I11/1000</f>
        <v>1034.6837618308844</v>
      </c>
    </row>
    <row r="10" spans="1:23">
      <c r="A10" s="1783" t="s">
        <v>1951</v>
      </c>
      <c r="B10" s="1784"/>
      <c r="C10" s="1784"/>
      <c r="D10" s="1784"/>
      <c r="E10" s="1597">
        <f>ER!P22/1000</f>
        <v>385.49804200783188</v>
      </c>
      <c r="F10" s="1597">
        <f>ER!O22/1000</f>
        <v>471.13533555802752</v>
      </c>
      <c r="G10" s="1597">
        <f>ER!N22/1000</f>
        <v>546.54606036848281</v>
      </c>
      <c r="H10" s="1597">
        <f>ER!M22/1000</f>
        <v>506.31866952789704</v>
      </c>
      <c r="I10" s="1597">
        <f>ER!L22/1000</f>
        <v>499.65384615384613</v>
      </c>
      <c r="J10" s="1597">
        <f>ER!K22/1000</f>
        <v>455.36334310850435</v>
      </c>
      <c r="K10" s="1595">
        <f>'Flujo de Caja'!E12/1000</f>
        <v>-516.46033644787701</v>
      </c>
      <c r="L10" s="1595">
        <f>'Flujo de Caja'!F12/1000</f>
        <v>-557.20198154057118</v>
      </c>
      <c r="M10" s="1595">
        <f>'Flujo de Caja'!G12/1000</f>
        <v>-598.51972143949229</v>
      </c>
      <c r="N10" s="1595">
        <f>'Flujo de Caja'!H12/1000</f>
        <v>-637.29217192934811</v>
      </c>
      <c r="O10" s="1596">
        <f>'Flujo de Caja'!I12/1000</f>
        <v>-662.19760757176584</v>
      </c>
    </row>
    <row r="11" spans="1:23">
      <c r="A11" s="1789"/>
      <c r="B11" s="1790"/>
      <c r="C11" s="1790"/>
      <c r="D11" s="1790"/>
      <c r="E11" s="1598"/>
      <c r="F11" s="1598"/>
      <c r="G11" s="1598"/>
      <c r="H11" s="1598"/>
      <c r="I11" s="1598"/>
      <c r="J11" s="1598"/>
      <c r="K11" s="1599"/>
      <c r="L11" s="1599"/>
      <c r="M11" s="1599"/>
      <c r="N11" s="1599"/>
      <c r="O11" s="1600"/>
    </row>
    <row r="12" spans="1:23">
      <c r="A12" s="1781" t="s">
        <v>1952</v>
      </c>
      <c r="B12" s="1782"/>
      <c r="C12" s="1782"/>
      <c r="D12" s="1782"/>
      <c r="E12" s="1594">
        <f>E9-E10</f>
        <v>162.04521181915283</v>
      </c>
      <c r="F12" s="1594">
        <f t="shared" ref="F12:J12" si="0">F9-F10</f>
        <v>184.33815350389312</v>
      </c>
      <c r="G12" s="1594">
        <f t="shared" si="0"/>
        <v>257.47314778518239</v>
      </c>
      <c r="H12" s="1594">
        <f t="shared" si="0"/>
        <v>250.48104434907026</v>
      </c>
      <c r="I12" s="1594">
        <f t="shared" si="0"/>
        <v>245.77190635451501</v>
      </c>
      <c r="J12" s="1594">
        <f t="shared" si="0"/>
        <v>262.65571847507323</v>
      </c>
      <c r="K12" s="1595">
        <f>SUM(K9:K10)</f>
        <v>290.50893925193088</v>
      </c>
      <c r="L12" s="1595">
        <f t="shared" ref="L12:O12" si="1">SUM(L9:L10)</f>
        <v>313.42611461657123</v>
      </c>
      <c r="M12" s="1595">
        <f t="shared" si="1"/>
        <v>336.6673433097144</v>
      </c>
      <c r="N12" s="1595">
        <f t="shared" si="1"/>
        <v>358.47684671025831</v>
      </c>
      <c r="O12" s="1596">
        <f t="shared" si="1"/>
        <v>372.48615425911851</v>
      </c>
      <c r="P12" s="1057"/>
    </row>
    <row r="13" spans="1:23">
      <c r="A13" s="1783" t="s">
        <v>1953</v>
      </c>
      <c r="B13" s="1784"/>
      <c r="C13" s="1784"/>
      <c r="D13" s="1784"/>
      <c r="E13" s="1597">
        <f>(ER!P33+ER!P42)/1000</f>
        <v>-113.5567817728729</v>
      </c>
      <c r="F13" s="1597">
        <f>(ER!O33+ER!O42)/1000</f>
        <v>-136.32109751575825</v>
      </c>
      <c r="G13" s="1597">
        <f>(ER!N33+ER!N42)/1000</f>
        <v>-180.15836926695414</v>
      </c>
      <c r="H13" s="1597">
        <f>(ER!M33+ER!M42)/1000</f>
        <v>-184.19563662374827</v>
      </c>
      <c r="I13" s="1597">
        <f>(ER!L33+ER!L42)/1000</f>
        <v>-176.77959866220738</v>
      </c>
      <c r="J13" s="1597">
        <f>(ER!K33+ER!K42)/1000</f>
        <v>-177.9360703812317</v>
      </c>
      <c r="K13" s="1595">
        <f>('Flujo de Caja'!E14+'Flujo de Caja'!E15)/1000</f>
        <v>-185.60293341095579</v>
      </c>
      <c r="L13" s="1595">
        <f>('Flujo de Caja'!F14+'Flujo de Caja'!F15)/1000</f>
        <v>-200.24446211614273</v>
      </c>
      <c r="M13" s="1595">
        <f>('Flujo de Caja'!G14+'Flujo de Caja'!G15)/1000</f>
        <v>-215.09302489231754</v>
      </c>
      <c r="N13" s="1595">
        <f>('Flujo de Caja'!H14+'Flujo de Caja'!H15)/1000</f>
        <v>-229.02687428710951</v>
      </c>
      <c r="O13" s="1596">
        <f>('Flujo de Caja'!I14+'Flujo de Caja'!I15)/1000</f>
        <v>-237.97726522110338</v>
      </c>
      <c r="P13" s="1057"/>
    </row>
    <row r="14" spans="1:23">
      <c r="A14" s="1783"/>
      <c r="B14" s="1784"/>
      <c r="C14" s="1784"/>
      <c r="D14" s="1784"/>
      <c r="E14" s="1597"/>
      <c r="F14" s="1597"/>
      <c r="G14" s="1597"/>
      <c r="H14" s="1597"/>
      <c r="I14" s="1597"/>
      <c r="J14" s="1597"/>
      <c r="K14" s="1595"/>
      <c r="L14" s="1595"/>
      <c r="M14" s="1595"/>
      <c r="N14" s="1595"/>
      <c r="O14" s="1596"/>
      <c r="P14" s="1057"/>
    </row>
    <row r="15" spans="1:23">
      <c r="A15" s="1781" t="s">
        <v>1954</v>
      </c>
      <c r="B15" s="1782"/>
      <c r="C15" s="1782"/>
      <c r="D15" s="1782"/>
      <c r="E15" s="1597">
        <f t="shared" ref="E15:I15" si="2">SUM(E16:E19)</f>
        <v>-19.838376646493408</v>
      </c>
      <c r="F15" s="1597">
        <f t="shared" si="2"/>
        <v>-23.199110122358178</v>
      </c>
      <c r="G15" s="1597">
        <f t="shared" si="2"/>
        <v>-25.64798118384946</v>
      </c>
      <c r="H15" s="1597">
        <f t="shared" si="2"/>
        <v>-81.458512160228921</v>
      </c>
      <c r="I15" s="1597">
        <f t="shared" si="2"/>
        <v>-75.836120401337766</v>
      </c>
      <c r="J15" s="1597">
        <f>SUM(J16:J19)</f>
        <v>-122.69706744868034</v>
      </c>
      <c r="K15" s="1595">
        <f>SUM(K16:K19)</f>
        <v>-17.181848346900853</v>
      </c>
      <c r="L15" s="1595">
        <f t="shared" ref="L15:O15" si="3">SUM(L16:L19)</f>
        <v>-18.537260791931036</v>
      </c>
      <c r="M15" s="1595">
        <f t="shared" si="3"/>
        <v>-19.911839033239225</v>
      </c>
      <c r="N15" s="1595">
        <f t="shared" si="3"/>
        <v>-21.201739374737489</v>
      </c>
      <c r="O15" s="1596">
        <f t="shared" si="3"/>
        <v>-22.030305264549458</v>
      </c>
      <c r="P15" s="1057"/>
    </row>
    <row r="16" spans="1:23">
      <c r="A16" s="1783" t="s">
        <v>1955</v>
      </c>
      <c r="B16" s="1784"/>
      <c r="C16" s="1784"/>
      <c r="D16" s="1784"/>
      <c r="E16" s="1597">
        <f>(ER!P52+ER!P61)/1000</f>
        <v>-8.9878960484158021</v>
      </c>
      <c r="F16" s="1597">
        <f>(ER!O52+ER!O61)/1000</f>
        <v>-4.9317760474601418</v>
      </c>
      <c r="G16" s="1597">
        <f>(ER!N52+ER!N61)/1000</f>
        <v>-16.206193649549185</v>
      </c>
      <c r="H16" s="1597">
        <f>(ER!M52+ER!M61)/1000</f>
        <v>-10.801859799713887</v>
      </c>
      <c r="I16" s="1597">
        <f>(ER!L52+ER!L61)/1000</f>
        <v>-11.742474916387932</v>
      </c>
      <c r="J16" s="1597">
        <f>(ER!K52+ER!K61)/1000</f>
        <v>-19.53284457478005</v>
      </c>
      <c r="K16" s="1595">
        <f>K9*$W16</f>
        <v>-13.627693521238651</v>
      </c>
      <c r="L16" s="1595">
        <f t="shared" ref="L16:O16" si="4">L9*$W16</f>
        <v>-14.702731842076568</v>
      </c>
      <c r="M16" s="1595">
        <f t="shared" si="4"/>
        <v>-15.792971414403491</v>
      </c>
      <c r="N16" s="1595">
        <f t="shared" si="4"/>
        <v>-16.816049151558008</v>
      </c>
      <c r="O16" s="1596">
        <f t="shared" si="4"/>
        <v>-17.473221871310628</v>
      </c>
      <c r="P16" s="1057"/>
      <c r="Q16" s="1383">
        <f>E16/E$9</f>
        <v>-1.6414951669290113E-2</v>
      </c>
      <c r="R16" s="1383">
        <f t="shared" ref="R16:V16" si="5">F16/F$9</f>
        <v>-7.523990107545374E-3</v>
      </c>
      <c r="S16" s="1383">
        <f t="shared" si="5"/>
        <v>-2.0156475722470348E-2</v>
      </c>
      <c r="T16" s="1383">
        <f t="shared" si="5"/>
        <v>-1.4273075956090994E-2</v>
      </c>
      <c r="U16" s="1383">
        <f t="shared" si="5"/>
        <v>-1.5752708940997073E-2</v>
      </c>
      <c r="V16" s="1383">
        <f t="shared" si="5"/>
        <v>-2.7203796695453638E-2</v>
      </c>
      <c r="W16" s="1383">
        <f>AVERAGE(Q16:V16)</f>
        <v>-1.6887499848641258E-2</v>
      </c>
    </row>
    <row r="17" spans="1:23">
      <c r="A17" s="1783" t="s">
        <v>1956</v>
      </c>
      <c r="B17" s="1784"/>
      <c r="C17" s="1784"/>
      <c r="D17" s="1784"/>
      <c r="E17" s="1597">
        <f>(ER!P71-SUM(ER!P74:P79))/1000</f>
        <v>-5.5510857956568165</v>
      </c>
      <c r="F17" s="1597">
        <f>(ER!O71-SUM(ER!O74:O79))/1000</f>
        <v>-3.7893956247682619</v>
      </c>
      <c r="G17" s="1597">
        <f>(ER!N71-SUM(ER!N74:N79))/1000</f>
        <v>10.898079184633476</v>
      </c>
      <c r="H17" s="1597">
        <f>(ER!M71-SUM(ER!M74:M79))/1000</f>
        <v>2.5861945636623713</v>
      </c>
      <c r="I17" s="1597">
        <f>(ER!L71-SUM(ER!L74:L79))/1000</f>
        <v>-9.1327759197324454</v>
      </c>
      <c r="J17" s="1597">
        <f>(ER!K71-SUM(ER!K74:K79))/1000</f>
        <v>-25.975659824046918</v>
      </c>
      <c r="K17" s="1595">
        <f t="shared" ref="K17:O17" si="6">K10*$W17</f>
        <v>4.0779832631442003</v>
      </c>
      <c r="L17" s="1595">
        <f t="shared" si="6"/>
        <v>4.3996802746585306</v>
      </c>
      <c r="M17" s="1595">
        <f t="shared" si="6"/>
        <v>4.7259261446465555</v>
      </c>
      <c r="N17" s="1595">
        <f t="shared" si="6"/>
        <v>5.0320743481198278</v>
      </c>
      <c r="O17" s="1596">
        <f t="shared" si="6"/>
        <v>5.2287282681664928</v>
      </c>
      <c r="P17" s="1057"/>
      <c r="Q17" s="1383">
        <f t="shared" ref="Q17:Q19" si="7">E17/E$9</f>
        <v>-1.0138168549896652E-2</v>
      </c>
      <c r="R17" s="1383">
        <f t="shared" ref="R17:R19" si="8">F17/F$9</f>
        <v>-5.7811577249164518E-3</v>
      </c>
      <c r="S17" s="1383">
        <f t="shared" ref="S17:S19" si="9">G17/G$9</f>
        <v>1.3554501029471202E-2</v>
      </c>
      <c r="T17" s="1383">
        <f t="shared" ref="T17:T19" si="10">H17/H$9</f>
        <v>3.4172774067443797E-3</v>
      </c>
      <c r="U17" s="1383">
        <f t="shared" ref="U17:U19" si="11">I17/I$9</f>
        <v>-1.2251757990652472E-2</v>
      </c>
      <c r="V17" s="1383">
        <f t="shared" ref="V17:V19" si="12">J17/J$9</f>
        <v>-3.6176838769096303E-2</v>
      </c>
      <c r="W17" s="1383">
        <f t="shared" ref="W17:W19" si="13">AVERAGE(Q17:V17)</f>
        <v>-7.896024099724383E-3</v>
      </c>
    </row>
    <row r="18" spans="1:23">
      <c r="A18" s="1783" t="s">
        <v>1957</v>
      </c>
      <c r="B18" s="1784"/>
      <c r="C18" s="1784"/>
      <c r="D18" s="1784"/>
      <c r="E18" s="1597">
        <f>-ER!P80/1000</f>
        <v>-4.7703809184763255</v>
      </c>
      <c r="F18" s="1597">
        <f>-ER!O80/1000</f>
        <v>-13.605858361142008</v>
      </c>
      <c r="G18" s="1597">
        <f>-ER!N80/1000</f>
        <v>-20.960015680125437</v>
      </c>
      <c r="H18" s="1597">
        <f>-ER!M80/1000</f>
        <v>-74.963876967095857</v>
      </c>
      <c r="I18" s="1597">
        <f>-ER!L80/1000</f>
        <v>-54.960869565217386</v>
      </c>
      <c r="J18" s="1597">
        <f>-ER!K80/1000</f>
        <v>-67.730205278592379</v>
      </c>
      <c r="K18" s="1595">
        <f>K9*$Q$18</f>
        <v>-7.0305876434219101</v>
      </c>
      <c r="L18" s="1595">
        <f t="shared" ref="L18:O18" si="14">L9*$Q$18</f>
        <v>-7.5852046901663774</v>
      </c>
      <c r="M18" s="1595">
        <f t="shared" si="14"/>
        <v>-8.1476641301020756</v>
      </c>
      <c r="N18" s="1595">
        <f t="shared" si="14"/>
        <v>-8.6754744808330067</v>
      </c>
      <c r="O18" s="1596">
        <f t="shared" si="14"/>
        <v>-9.0145128071562404</v>
      </c>
      <c r="P18" s="1057"/>
      <c r="Q18" s="1383">
        <f t="shared" si="7"/>
        <v>-8.7123362129555033E-3</v>
      </c>
      <c r="R18" s="1383">
        <f t="shared" si="8"/>
        <v>-2.0757297721703438E-2</v>
      </c>
      <c r="S18" s="1383">
        <f t="shared" si="9"/>
        <v>-2.6069048435120881E-2</v>
      </c>
      <c r="T18" s="1383">
        <f t="shared" si="10"/>
        <v>-9.9053786084388917E-2</v>
      </c>
      <c r="U18" s="1383">
        <f t="shared" si="11"/>
        <v>-7.3730843588746167E-2</v>
      </c>
      <c r="V18" s="1383">
        <f t="shared" si="12"/>
        <v>-9.4329257957601678E-2</v>
      </c>
      <c r="W18" s="1383">
        <f t="shared" si="13"/>
        <v>-5.3775428333419424E-2</v>
      </c>
    </row>
    <row r="19" spans="1:23">
      <c r="A19" s="1783" t="s">
        <v>1958</v>
      </c>
      <c r="B19" s="1784"/>
      <c r="C19" s="1784"/>
      <c r="D19" s="1784"/>
      <c r="E19" s="1597">
        <f>ER!P82/1000</f>
        <v>-0.52901388394446414</v>
      </c>
      <c r="F19" s="1597">
        <f>ER!O82/1000</f>
        <v>-0.87208008898776412</v>
      </c>
      <c r="G19" s="1597">
        <f>ER!N82/1000</f>
        <v>0.6201489611916895</v>
      </c>
      <c r="H19" s="1597">
        <f>ER!M82/1000</f>
        <v>1.7210300429184551</v>
      </c>
      <c r="I19" s="1597">
        <f>ER!L82/1000</f>
        <v>0</v>
      </c>
      <c r="J19" s="1597">
        <f>ER!K82/1000</f>
        <v>-9.4583577712609959</v>
      </c>
      <c r="K19" s="1595">
        <f t="shared" ref="K19:O19" si="15">K12*$W19</f>
        <v>-0.60155044538449498</v>
      </c>
      <c r="L19" s="1595">
        <f t="shared" si="15"/>
        <v>-0.64900453434662098</v>
      </c>
      <c r="M19" s="1595">
        <f t="shared" si="15"/>
        <v>-0.69712963338021383</v>
      </c>
      <c r="N19" s="1595">
        <f t="shared" si="15"/>
        <v>-0.74229009046630201</v>
      </c>
      <c r="O19" s="1596">
        <f t="shared" si="15"/>
        <v>-0.77129885424908196</v>
      </c>
      <c r="P19" s="1057"/>
      <c r="Q19" s="1383">
        <f t="shared" si="7"/>
        <v>-9.6615907555611016E-4</v>
      </c>
      <c r="R19" s="1383">
        <f t="shared" si="8"/>
        <v>-1.3304582161451557E-3</v>
      </c>
      <c r="S19" s="1383">
        <f t="shared" si="9"/>
        <v>7.7131112652866602E-4</v>
      </c>
      <c r="T19" s="1383">
        <f t="shared" si="10"/>
        <v>2.2740891828590759E-3</v>
      </c>
      <c r="U19" s="1383">
        <f t="shared" si="11"/>
        <v>0</v>
      </c>
      <c r="V19" s="1383">
        <f t="shared" si="12"/>
        <v>-1.3172850523495526E-2</v>
      </c>
      <c r="W19" s="1383">
        <f t="shared" si="13"/>
        <v>-2.0706779176348417E-3</v>
      </c>
    </row>
    <row r="20" spans="1:23">
      <c r="A20" s="1781" t="s">
        <v>1959</v>
      </c>
      <c r="B20" s="1782"/>
      <c r="C20" s="1782"/>
      <c r="D20" s="1782"/>
      <c r="E20" s="1597">
        <f t="shared" ref="E20:O20" si="16">E12+E13+E15</f>
        <v>28.650053399786522</v>
      </c>
      <c r="F20" s="1597">
        <f t="shared" si="16"/>
        <v>24.817945865776693</v>
      </c>
      <c r="G20" s="1597">
        <f t="shared" si="16"/>
        <v>51.666797334378792</v>
      </c>
      <c r="H20" s="1597">
        <f t="shared" si="16"/>
        <v>-15.173104434906932</v>
      </c>
      <c r="I20" s="1597">
        <f t="shared" si="16"/>
        <v>-6.8438127090301322</v>
      </c>
      <c r="J20" s="1597">
        <f t="shared" si="16"/>
        <v>-37.977419354838815</v>
      </c>
      <c r="K20" s="1595">
        <f t="shared" si="16"/>
        <v>87.724157494074248</v>
      </c>
      <c r="L20" s="1595">
        <f t="shared" si="16"/>
        <v>94.644391708497466</v>
      </c>
      <c r="M20" s="1595">
        <f t="shared" si="16"/>
        <v>101.66247938415762</v>
      </c>
      <c r="N20" s="1595">
        <f t="shared" si="16"/>
        <v>108.24823304841132</v>
      </c>
      <c r="O20" s="1596">
        <f t="shared" si="16"/>
        <v>112.47858377346567</v>
      </c>
      <c r="P20" s="1057"/>
    </row>
    <row r="21" spans="1:23">
      <c r="A21" s="1783" t="s">
        <v>1960</v>
      </c>
      <c r="B21" s="1784"/>
      <c r="C21" s="1784"/>
      <c r="D21" s="1784"/>
      <c r="E21" s="1597">
        <f>ER!P85/1000</f>
        <v>-11.495194019223922</v>
      </c>
      <c r="F21" s="1597">
        <f>ER!O85/1000</f>
        <v>-7.8687430478309235</v>
      </c>
      <c r="G21" s="1597">
        <f>ER!N85/1000</f>
        <v>-22.13798510388083</v>
      </c>
      <c r="H21" s="1597">
        <f>ER!M85/1000</f>
        <v>-10.726394849785409</v>
      </c>
      <c r="I21" s="1597">
        <f>ER!L85/1000</f>
        <v>7.798996655518394</v>
      </c>
      <c r="J21" s="1597">
        <f>ER!K85/1000</f>
        <v>12.085630498533725</v>
      </c>
      <c r="K21" s="1595">
        <f>-K20*Supuestos!D25</f>
        <v>-24.562764098340793</v>
      </c>
      <c r="L21" s="1595">
        <f>-L20*Supuestos!E25</f>
        <v>-25.553985761294317</v>
      </c>
      <c r="M21" s="1595">
        <f>-M20*Supuestos!F25</f>
        <v>-27.44886943372256</v>
      </c>
      <c r="N21" s="1595">
        <f>-N20*Supuestos!G25</f>
        <v>-28.144540592586946</v>
      </c>
      <c r="O21" s="1596">
        <f>-O20*Supuestos!H25</f>
        <v>-29.244431781101074</v>
      </c>
      <c r="P21" s="1057"/>
      <c r="Q21" s="1383"/>
      <c r="R21" s="1383"/>
      <c r="S21" s="1383"/>
      <c r="T21" s="1383"/>
      <c r="U21" s="1383"/>
      <c r="V21" s="1383"/>
      <c r="W21" s="1383"/>
    </row>
    <row r="22" spans="1:23">
      <c r="A22" s="1783"/>
      <c r="B22" s="1784"/>
      <c r="C22" s="1784"/>
      <c r="D22" s="1784"/>
      <c r="E22" s="1597"/>
      <c r="F22" s="1597"/>
      <c r="G22" s="1597"/>
      <c r="H22" s="1597"/>
      <c r="I22" s="1597"/>
      <c r="J22" s="1597"/>
      <c r="K22" s="1595"/>
      <c r="L22" s="1595"/>
      <c r="M22" s="1595"/>
      <c r="N22" s="1595"/>
      <c r="O22" s="1596"/>
      <c r="P22" s="1057"/>
      <c r="Q22" s="1383"/>
      <c r="R22" s="1383"/>
      <c r="S22" s="1383"/>
      <c r="T22" s="1383"/>
      <c r="U22" s="1383"/>
      <c r="V22" s="1383"/>
      <c r="W22" s="1383"/>
    </row>
    <row r="23" spans="1:23">
      <c r="A23" s="1781" t="s">
        <v>1961</v>
      </c>
      <c r="B23" s="1782"/>
      <c r="C23" s="1782"/>
      <c r="D23" s="1782"/>
      <c r="E23" s="1597">
        <f t="shared" ref="E23:I23" si="17">E20+E21</f>
        <v>17.154859380562598</v>
      </c>
      <c r="F23" s="1597">
        <f t="shared" si="17"/>
        <v>16.949202817945768</v>
      </c>
      <c r="G23" s="1597">
        <f t="shared" si="17"/>
        <v>29.528812230497962</v>
      </c>
      <c r="H23" s="1597">
        <f t="shared" si="17"/>
        <v>-25.89949928469234</v>
      </c>
      <c r="I23" s="1597">
        <f t="shared" si="17"/>
        <v>0.95518394648826188</v>
      </c>
      <c r="J23" s="1597">
        <f>J20+J21</f>
        <v>-25.891788856305091</v>
      </c>
      <c r="K23" s="1595">
        <f>SUM(K20:K21)</f>
        <v>63.161393395733455</v>
      </c>
      <c r="L23" s="1595">
        <f t="shared" ref="L23:O23" si="18">SUM(L20:L21)</f>
        <v>69.090405947203152</v>
      </c>
      <c r="M23" s="1595">
        <f t="shared" si="18"/>
        <v>74.213609950435057</v>
      </c>
      <c r="N23" s="1595">
        <f t="shared" si="18"/>
        <v>80.103692455824373</v>
      </c>
      <c r="O23" s="1596">
        <f t="shared" si="18"/>
        <v>83.234151992364602</v>
      </c>
      <c r="P23" s="1057"/>
    </row>
    <row r="24" spans="1:23">
      <c r="A24" s="1783"/>
      <c r="B24" s="1784"/>
      <c r="C24" s="1784"/>
      <c r="D24" s="1784"/>
      <c r="E24" s="1597"/>
      <c r="F24" s="1597"/>
      <c r="G24" s="1597"/>
      <c r="H24" s="1597"/>
      <c r="I24" s="1597"/>
      <c r="J24" s="1597"/>
      <c r="K24" s="1595"/>
      <c r="L24" s="1595"/>
      <c r="M24" s="1595"/>
      <c r="N24" s="1595"/>
      <c r="O24" s="1596"/>
      <c r="P24" s="1057"/>
      <c r="Q24" s="1383"/>
      <c r="R24" s="1383"/>
      <c r="S24" s="1383"/>
      <c r="T24" s="1383"/>
      <c r="U24" s="1383"/>
      <c r="V24" s="1383"/>
      <c r="W24" s="1383"/>
    </row>
    <row r="25" spans="1:23">
      <c r="A25" s="1783" t="s">
        <v>1962</v>
      </c>
      <c r="B25" s="1784"/>
      <c r="C25" s="1784"/>
      <c r="D25" s="1784"/>
      <c r="E25" s="1597">
        <v>652.94697299999996</v>
      </c>
      <c r="F25" s="1597">
        <v>652.94697299999996</v>
      </c>
      <c r="G25" s="1597">
        <v>652.94697299999996</v>
      </c>
      <c r="H25" s="1597">
        <v>652.94697299999996</v>
      </c>
      <c r="I25" s="1597">
        <v>652.94697299999996</v>
      </c>
      <c r="J25" s="1597">
        <v>652.94697299999996</v>
      </c>
      <c r="K25" s="1595">
        <v>653</v>
      </c>
      <c r="L25" s="1595">
        <v>653</v>
      </c>
      <c r="M25" s="1595">
        <v>653</v>
      </c>
      <c r="N25" s="1595">
        <v>653</v>
      </c>
      <c r="O25" s="1596">
        <v>653</v>
      </c>
      <c r="P25" s="1057"/>
      <c r="Q25" s="1383"/>
      <c r="R25" s="1383"/>
      <c r="S25" s="1383"/>
      <c r="T25" s="1383"/>
      <c r="U25" s="1383"/>
      <c r="V25" s="1383"/>
      <c r="W25" s="1383"/>
    </row>
    <row r="26" spans="1:23">
      <c r="A26" s="1783"/>
      <c r="B26" s="1784"/>
      <c r="C26" s="1784"/>
      <c r="D26" s="1784"/>
      <c r="E26" s="1597"/>
      <c r="F26" s="1597"/>
      <c r="G26" s="1597"/>
      <c r="H26" s="1597"/>
      <c r="I26" s="1597"/>
      <c r="J26" s="1597"/>
      <c r="K26" s="1595"/>
      <c r="L26" s="1595"/>
      <c r="M26" s="1595"/>
      <c r="N26" s="1595"/>
      <c r="O26" s="1596"/>
      <c r="P26" s="1057"/>
      <c r="Q26" s="1383"/>
      <c r="R26" s="1383"/>
      <c r="S26" s="1383"/>
      <c r="T26" s="1383"/>
      <c r="U26" s="1383"/>
      <c r="V26" s="1383"/>
      <c r="W26" s="1383"/>
    </row>
    <row r="27" spans="1:23">
      <c r="A27" s="1781" t="s">
        <v>694</v>
      </c>
      <c r="B27" s="1782"/>
      <c r="C27" s="1782"/>
      <c r="D27" s="1782"/>
      <c r="E27" s="1597">
        <f>(ER!P62+ER!P57+ER!P39+ER!P40+ER!P30+ER!P31+ER!P18+ER!P19)/1000</f>
        <v>77.771448914204456</v>
      </c>
      <c r="F27" s="1597">
        <f>(ER!O62+ER!O57+ER!O39+ER!O40+ER!O30+ER!O31+ER!O18+ER!O19)/1000</f>
        <v>80.215053763440821</v>
      </c>
      <c r="G27" s="1597">
        <f>(ER!N62+ER!N57+ER!N39+ER!N40+ER!N30+ER!N31+ER!N18+ER!N19)/1000</f>
        <v>107.2359858878872</v>
      </c>
      <c r="H27" s="1597">
        <f>(ER!M62+ER!M57+ER!M39+ER!M40+ER!M30+ER!M31+ER!M18+ER!M19)/1000</f>
        <v>101.00643776824047</v>
      </c>
      <c r="I27" s="1597">
        <f>(ER!L62+ER!L57+ER!L39+ER!L40+ER!L30+ER!L31+ER!L18+ER!L19)/1000</f>
        <v>105.71371237458192</v>
      </c>
      <c r="J27" s="1597">
        <f>(ER!K62+ER!K57+ER!K39+ER!K40+ER!K30+ER!K31+ER!K18+ER!K19)/1000</f>
        <v>113.99413489736055</v>
      </c>
      <c r="K27" s="1595">
        <f>('Flujo de Caja'!E16+'Flujo de Caja'!E20)/1000</f>
        <v>139.60474484390764</v>
      </c>
      <c r="L27" s="1595">
        <f>('Flujo de Caja'!F16+'Flujo de Caja'!F20)/1000</f>
        <v>151.38039150336107</v>
      </c>
      <c r="M27" s="1595">
        <f>('Flujo de Caja'!G16+'Flujo de Caja'!G20)/1000</f>
        <v>163.27305742032939</v>
      </c>
      <c r="N27" s="1595">
        <f>('Flujo de Caja'!H16+'Flujo de Caja'!H20)/1000</f>
        <v>174.64871142608135</v>
      </c>
      <c r="O27" s="1596">
        <f>('Flujo de Caja'!I16+'Flujo de Caja'!I20)/1000</f>
        <v>181.20762804094755</v>
      </c>
      <c r="P27" s="1057"/>
    </row>
    <row r="28" spans="1:23">
      <c r="A28" s="1783"/>
      <c r="B28" s="1784"/>
      <c r="C28" s="1784"/>
      <c r="D28" s="1784"/>
      <c r="E28" s="1597"/>
      <c r="F28" s="1597"/>
      <c r="G28" s="1597"/>
      <c r="H28" s="1597"/>
      <c r="I28" s="1597"/>
      <c r="J28" s="1597"/>
      <c r="K28" s="1595"/>
      <c r="L28" s="1595"/>
      <c r="M28" s="1595"/>
      <c r="N28" s="1595"/>
      <c r="O28" s="1596"/>
      <c r="P28" s="1057"/>
      <c r="Q28" s="1383"/>
      <c r="R28" s="1383"/>
      <c r="S28" s="1383"/>
      <c r="T28" s="1383"/>
      <c r="U28" s="1383"/>
      <c r="V28" s="1383"/>
      <c r="W28" s="1383"/>
    </row>
    <row r="29" spans="1:23">
      <c r="A29" s="1792" t="s">
        <v>1830</v>
      </c>
      <c r="B29" s="1793"/>
      <c r="C29" s="1793"/>
      <c r="D29" s="1793"/>
      <c r="E29" s="1597"/>
      <c r="F29" s="1597"/>
      <c r="G29" s="1597"/>
      <c r="H29" s="1597"/>
      <c r="I29" s="1597"/>
      <c r="J29" s="1597"/>
      <c r="K29" s="1595"/>
      <c r="L29" s="1595"/>
      <c r="M29" s="1595"/>
      <c r="N29" s="1595"/>
      <c r="O29" s="1596"/>
      <c r="P29" s="1057"/>
      <c r="Q29" s="1383"/>
      <c r="R29" s="1383"/>
      <c r="S29" s="1383"/>
      <c r="T29" s="1383"/>
      <c r="U29" s="1383"/>
      <c r="V29" s="1383"/>
      <c r="W29" s="1383"/>
    </row>
    <row r="30" spans="1:23">
      <c r="A30" s="1457"/>
      <c r="B30" s="1457"/>
      <c r="C30" s="1457"/>
      <c r="D30" s="1458"/>
      <c r="E30" s="1459">
        <f t="shared" ref="E30:J30" si="19">E15/E9</f>
        <v>-3.6231615507698378E-2</v>
      </c>
      <c r="F30" s="1459">
        <f t="shared" si="19"/>
        <v>-3.5392903770310423E-2</v>
      </c>
      <c r="G30" s="1459">
        <f t="shared" si="19"/>
        <v>-3.1899712001591363E-2</v>
      </c>
      <c r="H30" s="1459">
        <f t="shared" si="19"/>
        <v>-0.10763549545087646</v>
      </c>
      <c r="I30" s="1459">
        <f t="shared" si="19"/>
        <v>-0.10173531052039571</v>
      </c>
      <c r="J30" s="1459">
        <f t="shared" si="19"/>
        <v>-0.17088274394564715</v>
      </c>
      <c r="K30" s="1458"/>
      <c r="L30" s="1458"/>
      <c r="M30" s="1458"/>
      <c r="N30" s="1458"/>
      <c r="O30" s="1458"/>
    </row>
    <row r="31" spans="1:23" ht="18.75">
      <c r="A31" s="1791" t="s">
        <v>1963</v>
      </c>
      <c r="B31" s="1791"/>
      <c r="C31" s="1791"/>
      <c r="D31" s="1791"/>
      <c r="E31" s="1791"/>
      <c r="F31" s="1791"/>
      <c r="G31" s="1791"/>
      <c r="H31" s="1791"/>
      <c r="I31" s="1791"/>
      <c r="J31" s="1791"/>
      <c r="K31" s="1791"/>
      <c r="L31" s="1791"/>
      <c r="M31" s="1791"/>
      <c r="N31" s="1791"/>
      <c r="O31" s="1791"/>
    </row>
    <row r="32" spans="1:23" ht="18.75">
      <c r="A32" s="1588" t="s">
        <v>1949</v>
      </c>
      <c r="B32" s="1589"/>
      <c r="C32" s="1589"/>
      <c r="D32" s="1589"/>
      <c r="E32" s="1590">
        <v>2010</v>
      </c>
      <c r="F32" s="1590">
        <v>2011</v>
      </c>
      <c r="G32" s="1590">
        <v>2012</v>
      </c>
      <c r="H32" s="1590">
        <v>2013</v>
      </c>
      <c r="I32" s="1590">
        <v>2014</v>
      </c>
      <c r="J32" s="1590">
        <v>2015</v>
      </c>
      <c r="K32" s="1591" t="s">
        <v>808</v>
      </c>
      <c r="L32" s="1591" t="s">
        <v>809</v>
      </c>
      <c r="M32" s="1591" t="s">
        <v>810</v>
      </c>
      <c r="N32" s="1591" t="s">
        <v>811</v>
      </c>
      <c r="O32" s="1591" t="s">
        <v>812</v>
      </c>
    </row>
    <row r="33" spans="1:23">
      <c r="A33" s="1781" t="s">
        <v>1964</v>
      </c>
      <c r="B33" s="1782"/>
      <c r="C33" s="1782"/>
      <c r="D33" s="1782"/>
      <c r="E33" s="1597">
        <f t="shared" ref="E33:I33" si="20">SUM(E34:E39)</f>
        <v>169.42150231399074</v>
      </c>
      <c r="F33" s="1597">
        <f t="shared" si="20"/>
        <v>306.00444938820914</v>
      </c>
      <c r="G33" s="1597">
        <f t="shared" si="20"/>
        <v>210.21560172481378</v>
      </c>
      <c r="H33" s="1597">
        <f t="shared" si="20"/>
        <v>367.32761087267528</v>
      </c>
      <c r="I33" s="1597">
        <f t="shared" si="20"/>
        <v>275.64314381270901</v>
      </c>
      <c r="J33" s="1597">
        <f>SUM(J34:J39)</f>
        <v>248.09237536656894</v>
      </c>
      <c r="K33" s="1595">
        <f>SUM(K34:K38)</f>
        <v>201.79294146299156</v>
      </c>
      <c r="L33" s="1595">
        <f>SUM(L34:L38)</f>
        <v>203.18213117281249</v>
      </c>
      <c r="M33" s="1595">
        <f t="shared" ref="M33:O33" si="21">SUM(M34:M38)</f>
        <v>294.95052119790779</v>
      </c>
      <c r="N33" s="1595">
        <f t="shared" si="21"/>
        <v>338.22136084090772</v>
      </c>
      <c r="O33" s="1596">
        <f t="shared" si="21"/>
        <v>378.46938743585542</v>
      </c>
      <c r="P33" s="1057"/>
    </row>
    <row r="34" spans="1:23">
      <c r="A34" s="1783" t="s">
        <v>1965</v>
      </c>
      <c r="B34" s="1784"/>
      <c r="C34" s="1784"/>
      <c r="D34" s="1784"/>
      <c r="E34" s="1597">
        <f>BG!P6/1000</f>
        <v>15.074759700961195</v>
      </c>
      <c r="F34" s="1597">
        <f>BG!O6/1000</f>
        <v>132.50092695587691</v>
      </c>
      <c r="G34" s="1597">
        <f>BG!N6/1000</f>
        <v>16.087416699333595</v>
      </c>
      <c r="H34" s="1597">
        <f>BG!M6/1000</f>
        <v>123.98497854077254</v>
      </c>
      <c r="I34" s="1597">
        <f>BG!L6/1000</f>
        <v>33.166220735785949</v>
      </c>
      <c r="J34" s="1597">
        <f>BG!K6/1000</f>
        <v>83.23607038123167</v>
      </c>
      <c r="K34" s="1595">
        <f>J34+K83</f>
        <v>18.797307681962778</v>
      </c>
      <c r="L34" s="1595">
        <f>K34+L83</f>
        <v>45.023335182340851</v>
      </c>
      <c r="M34" s="1595">
        <f>L34+M83</f>
        <v>69.668772815893448</v>
      </c>
      <c r="N34" s="1595">
        <f>M34+N83</f>
        <v>117.59165647985498</v>
      </c>
      <c r="O34" s="1596">
        <f>N34+O83</f>
        <v>148.65278768689137</v>
      </c>
      <c r="P34" s="1057"/>
      <c r="Q34" s="1383"/>
      <c r="R34" s="1383"/>
      <c r="S34" s="1383"/>
      <c r="T34" s="1383"/>
      <c r="U34" s="1383"/>
      <c r="V34" s="1383"/>
      <c r="W34" s="1383"/>
    </row>
    <row r="35" spans="1:23">
      <c r="A35" s="1783" t="s">
        <v>1966</v>
      </c>
      <c r="B35" s="1784"/>
      <c r="C35" s="1784"/>
      <c r="D35" s="1784"/>
      <c r="E35" s="1597">
        <v>0</v>
      </c>
      <c r="F35" s="1597">
        <v>0</v>
      </c>
      <c r="G35" s="1597">
        <v>0</v>
      </c>
      <c r="H35" s="1597">
        <v>0</v>
      </c>
      <c r="I35" s="1597">
        <v>0</v>
      </c>
      <c r="J35" s="1597">
        <v>0</v>
      </c>
      <c r="K35" s="1595">
        <v>0</v>
      </c>
      <c r="L35" s="1595">
        <v>0</v>
      </c>
      <c r="M35" s="1595">
        <v>0</v>
      </c>
      <c r="N35" s="1595">
        <v>0</v>
      </c>
      <c r="O35" s="1596">
        <v>0</v>
      </c>
      <c r="P35" s="1057"/>
      <c r="Q35" s="1383"/>
      <c r="R35" s="1383"/>
      <c r="S35" s="1383"/>
      <c r="T35" s="1383"/>
      <c r="U35" s="1383"/>
      <c r="V35" s="1383"/>
      <c r="W35" s="1383"/>
    </row>
    <row r="36" spans="1:23">
      <c r="A36" s="1783" t="s">
        <v>1967</v>
      </c>
      <c r="B36" s="1784"/>
      <c r="C36" s="1784"/>
      <c r="D36" s="1784"/>
      <c r="E36" s="1597">
        <f>BG!P7/1000</f>
        <v>34.431114275542896</v>
      </c>
      <c r="F36" s="1597">
        <f>BG!O7/1000</f>
        <v>56.644419725621063</v>
      </c>
      <c r="G36" s="1597">
        <f>BG!N7/1000</f>
        <v>58.989807918463349</v>
      </c>
      <c r="H36" s="1597">
        <f>BG!M7/1000</f>
        <v>67.540772532188839</v>
      </c>
      <c r="I36" s="1597">
        <f>BG!L7/1000</f>
        <v>72.675250836120398</v>
      </c>
      <c r="J36" s="1597">
        <f>BG!K7/1000</f>
        <v>46.943988269794716</v>
      </c>
      <c r="K36" s="1595">
        <f>CapitalTrabajo!N13/1000</f>
        <v>72.443247039217951</v>
      </c>
      <c r="L36" s="1595">
        <f>CapitalTrabajo!O13/1000</f>
        <v>56.362005542934625</v>
      </c>
      <c r="M36" s="1595">
        <f>CapitalTrabajo!P13/1000</f>
        <v>71.745811545997796</v>
      </c>
      <c r="N36" s="1595">
        <f>CapitalTrabajo!Q13/1000</f>
        <v>64.660903336140066</v>
      </c>
      <c r="O36" s="1596">
        <f>CapitalTrabajo!R13/1000</f>
        <v>77.076598284529027</v>
      </c>
      <c r="P36" s="1057"/>
      <c r="Q36" s="1383"/>
      <c r="R36" s="1383"/>
      <c r="S36" s="1383"/>
      <c r="T36" s="1383"/>
      <c r="U36" s="1383"/>
      <c r="V36" s="1383"/>
      <c r="W36" s="1383"/>
    </row>
    <row r="37" spans="1:23">
      <c r="A37" s="1783" t="s">
        <v>1968</v>
      </c>
      <c r="B37" s="1784"/>
      <c r="C37" s="1784"/>
      <c r="D37" s="1784"/>
      <c r="E37" s="1597">
        <f>BG!P10/1000</f>
        <v>72.917764328942681</v>
      </c>
      <c r="F37" s="1597">
        <f>BG!O10/1000</f>
        <v>79.1431219873934</v>
      </c>
      <c r="G37" s="1597">
        <f>BG!N10/1000</f>
        <v>101.18228145825165</v>
      </c>
      <c r="H37" s="1597">
        <f>BG!M10/1000</f>
        <v>101.04792560801145</v>
      </c>
      <c r="I37" s="1597">
        <f>BG!L10/1000</f>
        <v>83.83578595317725</v>
      </c>
      <c r="J37" s="1597">
        <f>BG!K10/1000</f>
        <v>77.732551319648096</v>
      </c>
      <c r="K37" s="1595">
        <f>CapitalTrabajo!N14/1000</f>
        <v>100.55238674181084</v>
      </c>
      <c r="L37" s="1595">
        <f>CapitalTrabajo!O14/1000</f>
        <v>91.79679044753702</v>
      </c>
      <c r="M37" s="1595">
        <f>CapitalTrabajo!P14/1000</f>
        <v>111.53593683601656</v>
      </c>
      <c r="N37" s="1595">
        <f>CapitalTrabajo!Q14/1000</f>
        <v>104.96880102491269</v>
      </c>
      <c r="O37" s="1596">
        <f>CapitalTrabajo!R14/1000</f>
        <v>112.740001464435</v>
      </c>
      <c r="P37" s="1057"/>
      <c r="Q37" s="1383"/>
      <c r="R37" s="1383"/>
      <c r="S37" s="1383"/>
      <c r="T37" s="1383"/>
      <c r="U37" s="1383"/>
      <c r="V37" s="1383"/>
      <c r="W37" s="1383"/>
    </row>
    <row r="38" spans="1:23">
      <c r="A38" s="1783" t="s">
        <v>1969</v>
      </c>
      <c r="B38" s="1784"/>
      <c r="C38" s="1784"/>
      <c r="D38" s="1784"/>
      <c r="E38" s="1597">
        <f>(BG!P8+BG!P9+BG!P11+BG!P12)/1000</f>
        <v>46.997864008543964</v>
      </c>
      <c r="F38" s="1597">
        <f>(BG!O8+BG!O9+BG!O11+BG!O12)/1000</f>
        <v>37.715980719317756</v>
      </c>
      <c r="G38" s="1597">
        <f>(BG!N8+BG!N9+BG!N11+BG!N12)/1000</f>
        <v>33.956095648765185</v>
      </c>
      <c r="H38" s="1597">
        <f>(BG!M8+BG!M9+BG!M11+BG!M12)/1000</f>
        <v>74.753934191702442</v>
      </c>
      <c r="I38" s="1597">
        <f>(BG!L8+BG!L9+BG!L11+BG!L12)/1000</f>
        <v>85.965886287625409</v>
      </c>
      <c r="J38" s="1597">
        <f>(BG!K8+BG!K9+BG!K11+BG!K12)/1000</f>
        <v>40.179765395894428</v>
      </c>
      <c r="K38" s="1595">
        <v>10</v>
      </c>
      <c r="L38" s="1595">
        <v>10</v>
      </c>
      <c r="M38" s="1595">
        <v>42</v>
      </c>
      <c r="N38" s="1595">
        <v>51</v>
      </c>
      <c r="O38" s="1596">
        <v>40</v>
      </c>
      <c r="P38" s="1057"/>
      <c r="Q38" s="1383"/>
      <c r="R38" s="1383"/>
      <c r="S38" s="1383"/>
      <c r="T38" s="1383"/>
      <c r="U38" s="1383"/>
      <c r="V38" s="1383"/>
      <c r="W38" s="1383"/>
    </row>
    <row r="39" spans="1:23">
      <c r="A39" s="1783"/>
      <c r="B39" s="1784"/>
      <c r="C39" s="1784"/>
      <c r="D39" s="1784"/>
      <c r="E39" s="1597"/>
      <c r="F39" s="1597"/>
      <c r="G39" s="1597"/>
      <c r="H39" s="1597"/>
      <c r="I39" s="1597"/>
      <c r="J39" s="1597"/>
      <c r="K39" s="1595"/>
      <c r="L39" s="1595"/>
      <c r="M39" s="1595"/>
      <c r="N39" s="1595"/>
      <c r="O39" s="1596"/>
      <c r="P39" s="1057"/>
      <c r="Q39" s="1383"/>
      <c r="R39" s="1383"/>
      <c r="S39" s="1383"/>
      <c r="T39" s="1383"/>
      <c r="U39" s="1383"/>
      <c r="V39" s="1383"/>
      <c r="W39" s="1383"/>
    </row>
    <row r="40" spans="1:23">
      <c r="A40" s="1781" t="s">
        <v>1970</v>
      </c>
      <c r="B40" s="1782"/>
      <c r="C40" s="1782"/>
      <c r="D40" s="1782"/>
      <c r="E40" s="1597">
        <f t="shared" ref="E40:I40" si="22">SUM(E41:E42)</f>
        <v>436.6707013171947</v>
      </c>
      <c r="F40" s="1597">
        <f t="shared" si="22"/>
        <v>566.78346310715597</v>
      </c>
      <c r="G40" s="1597">
        <f t="shared" si="22"/>
        <v>692.58565268522148</v>
      </c>
      <c r="H40" s="1597">
        <f t="shared" si="22"/>
        <v>762.11695278969955</v>
      </c>
      <c r="I40" s="1597">
        <f t="shared" si="22"/>
        <v>849.33745819398007</v>
      </c>
      <c r="J40" s="1597">
        <f>SUM(J41:J42)</f>
        <v>771.95043988269799</v>
      </c>
      <c r="K40" s="1595">
        <f>SUM(K41:K42)</f>
        <v>720.99295894952616</v>
      </c>
      <c r="L40" s="1595">
        <f t="shared" ref="L40:O40" si="23">SUM(L41:L42)</f>
        <v>755.34356628624539</v>
      </c>
      <c r="M40" s="1595">
        <f t="shared" si="23"/>
        <v>774.98954127020181</v>
      </c>
      <c r="N40" s="1595">
        <f t="shared" si="23"/>
        <v>773.89795482740692</v>
      </c>
      <c r="O40" s="1596">
        <f t="shared" si="23"/>
        <v>733.99267341111249</v>
      </c>
      <c r="P40" s="1057"/>
    </row>
    <row r="41" spans="1:23">
      <c r="A41" s="1783" t="s">
        <v>1971</v>
      </c>
      <c r="B41" s="1784"/>
      <c r="C41" s="1784"/>
      <c r="D41" s="1784"/>
      <c r="E41" s="1597">
        <f>BG!P21/1000</f>
        <v>280.90494838020646</v>
      </c>
      <c r="F41" s="1597">
        <f>BG!O21/1000</f>
        <v>404.6381164256581</v>
      </c>
      <c r="G41" s="1597">
        <f>BG!N21/1000</f>
        <v>506.28459427675421</v>
      </c>
      <c r="H41" s="1597">
        <f>BG!M21/1000</f>
        <v>575.90808297567958</v>
      </c>
      <c r="I41" s="1597">
        <f>BG!L21/1000</f>
        <v>695.62709030100336</v>
      </c>
      <c r="J41" s="1597">
        <f>BG!K21/1000</f>
        <v>623.97419354838701</v>
      </c>
      <c r="K41" s="1595">
        <f>Depreciacion!AL36/1000</f>
        <v>620.99295894952616</v>
      </c>
      <c r="L41" s="1595">
        <f>Depreciacion!AM36/1000</f>
        <v>618.34356628624539</v>
      </c>
      <c r="M41" s="1595">
        <f>Depreciacion!AN36/1000</f>
        <v>615.98954127020181</v>
      </c>
      <c r="N41" s="1595">
        <f>Depreciacion!AO36/1000</f>
        <v>613.89795482740692</v>
      </c>
      <c r="O41" s="1596">
        <f>Depreciacion!AP36/1000</f>
        <v>573.99267341111249</v>
      </c>
      <c r="P41" s="1057"/>
      <c r="Q41" s="1383"/>
      <c r="R41" s="1383"/>
      <c r="S41" s="1383"/>
      <c r="T41" s="1383"/>
      <c r="U41" s="1383"/>
      <c r="V41" s="1383"/>
      <c r="W41" s="1383"/>
    </row>
    <row r="42" spans="1:23">
      <c r="A42" s="1783" t="s">
        <v>1972</v>
      </c>
      <c r="B42" s="1784"/>
      <c r="C42" s="1784"/>
      <c r="D42" s="1784"/>
      <c r="E42" s="1597">
        <f>(BG!P26-BG!P21)/1000</f>
        <v>155.76575293698826</v>
      </c>
      <c r="F42" s="1597">
        <f>(BG!O26-BG!O21)/1000</f>
        <v>162.14534668149787</v>
      </c>
      <c r="G42" s="1597">
        <f>(BG!N26-BG!N21)/1000</f>
        <v>186.30105840846721</v>
      </c>
      <c r="H42" s="1597">
        <f>(BG!M26-BG!M21)/1000</f>
        <v>186.20886981402001</v>
      </c>
      <c r="I42" s="1597">
        <f>(BG!L26-BG!L21)/1000</f>
        <v>153.71036789297673</v>
      </c>
      <c r="J42" s="1597">
        <f>(BG!K26-BG!K21)/1000</f>
        <v>147.97624633431096</v>
      </c>
      <c r="K42" s="1595">
        <v>100</v>
      </c>
      <c r="L42" s="1595">
        <v>137</v>
      </c>
      <c r="M42" s="1595">
        <v>159</v>
      </c>
      <c r="N42" s="1595">
        <v>160</v>
      </c>
      <c r="O42" s="1596">
        <v>160</v>
      </c>
      <c r="P42" s="1057"/>
      <c r="Q42" s="1383"/>
      <c r="R42" s="1383"/>
      <c r="S42" s="1383"/>
      <c r="T42" s="1383"/>
      <c r="U42" s="1383"/>
      <c r="V42" s="1383"/>
      <c r="W42" s="1383"/>
    </row>
    <row r="43" spans="1:23">
      <c r="A43" s="1783"/>
      <c r="B43" s="1784"/>
      <c r="C43" s="1784"/>
      <c r="D43" s="1784"/>
      <c r="E43" s="1597"/>
      <c r="F43" s="1597"/>
      <c r="G43" s="1597"/>
      <c r="H43" s="1597"/>
      <c r="I43" s="1597"/>
      <c r="J43" s="1597"/>
      <c r="K43" s="1595"/>
      <c r="L43" s="1595"/>
      <c r="M43" s="1595"/>
      <c r="N43" s="1595"/>
      <c r="O43" s="1596"/>
      <c r="P43" s="1057"/>
      <c r="Q43" s="1383"/>
      <c r="R43" s="1383"/>
      <c r="S43" s="1383"/>
      <c r="T43" s="1383"/>
      <c r="U43" s="1383"/>
      <c r="V43" s="1383"/>
      <c r="W43" s="1383"/>
    </row>
    <row r="44" spans="1:23">
      <c r="A44" s="1781" t="s">
        <v>1973</v>
      </c>
      <c r="B44" s="1782"/>
      <c r="C44" s="1782"/>
      <c r="D44" s="1782"/>
      <c r="E44" s="1597">
        <f t="shared" ref="E44:J44" si="24">SUM(E45:E47)</f>
        <v>198.61124955500179</v>
      </c>
      <c r="F44" s="1597">
        <f t="shared" si="24"/>
        <v>206.64590285502408</v>
      </c>
      <c r="G44" s="1597">
        <f t="shared" si="24"/>
        <v>290.23480987847898</v>
      </c>
      <c r="H44" s="1597">
        <f t="shared" si="24"/>
        <v>296.34298998569386</v>
      </c>
      <c r="I44" s="1597">
        <f t="shared" si="24"/>
        <v>296.27558528428091</v>
      </c>
      <c r="J44" s="1597">
        <f t="shared" si="24"/>
        <v>246.8571847507331</v>
      </c>
      <c r="K44" s="1595">
        <f>SUM(K45:K47)</f>
        <v>222.95061422362957</v>
      </c>
      <c r="L44" s="1595">
        <f t="shared" ref="L44:O44" si="25">SUM(L45:L47)</f>
        <v>200.67685748445371</v>
      </c>
      <c r="M44" s="1595">
        <f t="shared" si="25"/>
        <v>248.03657920062921</v>
      </c>
      <c r="N44" s="1595">
        <f t="shared" si="25"/>
        <v>200.8078111038742</v>
      </c>
      <c r="O44" s="1596">
        <f t="shared" si="25"/>
        <v>220.01629547867699</v>
      </c>
      <c r="P44" s="1057"/>
    </row>
    <row r="45" spans="1:23">
      <c r="A45" s="1783" t="s">
        <v>1974</v>
      </c>
      <c r="B45" s="1784"/>
      <c r="C45" s="1784"/>
      <c r="D45" s="1784"/>
      <c r="E45" s="1597">
        <f>BG!P33/1000</f>
        <v>81.419366322534714</v>
      </c>
      <c r="F45" s="1597">
        <f>BG!O33/1000</f>
        <v>95.01001112347052</v>
      </c>
      <c r="G45" s="1597">
        <f>BG!N33/1000</f>
        <v>137.29988239905919</v>
      </c>
      <c r="H45" s="1597">
        <f>BG!M33/1000</f>
        <v>224.7428469241774</v>
      </c>
      <c r="I45" s="1597">
        <f>BG!L33/1000</f>
        <v>181.29163879598659</v>
      </c>
      <c r="J45" s="1597">
        <f>BG!K33/1000</f>
        <v>164.12170087976537</v>
      </c>
      <c r="K45" s="1595">
        <f>CapitalTrabajo!N15/1000</f>
        <v>190.4734806238225</v>
      </c>
      <c r="L45" s="1595">
        <f>CapitalTrabajo!O15/1000</f>
        <v>155.12287172315939</v>
      </c>
      <c r="M45" s="1595">
        <f>CapitalTrabajo!P15/1000</f>
        <v>200.58770976690664</v>
      </c>
      <c r="N45" s="1595">
        <f>CapitalTrabajo!Q15/1000</f>
        <v>172.66327051128727</v>
      </c>
      <c r="O45" s="1596">
        <f>CapitalTrabajo!R15/1000</f>
        <v>190.77186369757592</v>
      </c>
      <c r="P45" s="1057"/>
      <c r="Q45" s="1383"/>
      <c r="R45" s="1383"/>
      <c r="S45" s="1383"/>
      <c r="T45" s="1383"/>
      <c r="U45" s="1383"/>
      <c r="V45" s="1383"/>
      <c r="W45" s="1383"/>
    </row>
    <row r="46" spans="1:23">
      <c r="A46" s="1783" t="s">
        <v>1975</v>
      </c>
      <c r="B46" s="1784"/>
      <c r="C46" s="1784"/>
      <c r="D46" s="1784"/>
      <c r="E46" s="1597">
        <f>(BG!P32+BG!P37)/1000</f>
        <v>46.359558561765752</v>
      </c>
      <c r="F46" s="1597">
        <f>(BG!O32+BG!O37)/1000</f>
        <v>21.639599555061178</v>
      </c>
      <c r="G46" s="1597">
        <f>(BG!N32+BG!N37)/1000</f>
        <v>48.830654645237153</v>
      </c>
      <c r="H46" s="1597">
        <f>(BG!M32+BG!M37)/1000</f>
        <v>21.057582260371962</v>
      </c>
      <c r="I46" s="1597">
        <f>(BG!L32+BG!L37)/1000</f>
        <v>26.770568561872906</v>
      </c>
      <c r="J46" s="1597">
        <f>(BG!K32+BG!K37)/1000</f>
        <v>7.8715542521994131</v>
      </c>
      <c r="K46" s="1595">
        <v>20</v>
      </c>
      <c r="L46" s="1595">
        <v>20</v>
      </c>
      <c r="M46" s="1595">
        <v>20</v>
      </c>
      <c r="N46" s="1595">
        <v>20</v>
      </c>
      <c r="O46" s="1596">
        <v>20</v>
      </c>
      <c r="P46" s="1057"/>
      <c r="Q46" s="1383"/>
      <c r="R46" s="1383"/>
      <c r="S46" s="1383"/>
      <c r="T46" s="1383"/>
      <c r="U46" s="1383"/>
      <c r="V46" s="1383"/>
      <c r="W46" s="1383"/>
    </row>
    <row r="47" spans="1:23">
      <c r="A47" s="1783" t="s">
        <v>1976</v>
      </c>
      <c r="B47" s="1784"/>
      <c r="C47" s="1784"/>
      <c r="D47" s="1784"/>
      <c r="E47" s="1597">
        <f>(BG!P34+BG!P35+BG!P36)/1000</f>
        <v>70.832324670701311</v>
      </c>
      <c r="F47" s="1597">
        <f>(BG!O34+BG!O35+BG!O36)/1000</f>
        <v>89.996292176492389</v>
      </c>
      <c r="G47" s="1597">
        <f>(BG!N34+BG!N35+BG!N36)/1000</f>
        <v>104.10427283418265</v>
      </c>
      <c r="H47" s="1597">
        <f>(BG!M34+BG!M35+BG!M36)/1000</f>
        <v>50.542560801144504</v>
      </c>
      <c r="I47" s="1597">
        <f>(BG!L34+BG!L35+BG!L36)/1000</f>
        <v>88.213377926421416</v>
      </c>
      <c r="J47" s="1597">
        <f>(BG!K34+BG!K35+BG!K36)/1000</f>
        <v>74.863929618768324</v>
      </c>
      <c r="K47" s="1595">
        <f>-K21-J21</f>
        <v>12.477133599807068</v>
      </c>
      <c r="L47" s="1595">
        <f>-L21</f>
        <v>25.553985761294317</v>
      </c>
      <c r="M47" s="1595">
        <f t="shared" ref="M47" si="26">-M21</f>
        <v>27.44886943372256</v>
      </c>
      <c r="N47" s="1595">
        <f>-N21-20</f>
        <v>8.1445405925869458</v>
      </c>
      <c r="O47" s="1596">
        <f>-O21-20</f>
        <v>9.2444317811010741</v>
      </c>
      <c r="P47" s="1057"/>
      <c r="Q47" s="1383"/>
      <c r="R47" s="1383"/>
      <c r="S47" s="1383"/>
      <c r="T47" s="1383"/>
      <c r="U47" s="1383"/>
      <c r="V47" s="1383"/>
      <c r="W47" s="1383"/>
    </row>
    <row r="48" spans="1:23">
      <c r="A48" s="1783" t="s">
        <v>1829</v>
      </c>
      <c r="B48" s="1784"/>
      <c r="C48" s="1784"/>
      <c r="D48" s="1784"/>
      <c r="E48" s="1597"/>
      <c r="F48" s="1597"/>
      <c r="G48" s="1597"/>
      <c r="H48" s="1597"/>
      <c r="I48" s="1597"/>
      <c r="J48" s="1597"/>
      <c r="K48" s="1595"/>
      <c r="L48" s="1595"/>
      <c r="M48" s="1595"/>
      <c r="N48" s="1595"/>
      <c r="O48" s="1596"/>
      <c r="P48" s="1057"/>
      <c r="Q48" s="1383"/>
      <c r="R48" s="1383"/>
      <c r="S48" s="1383"/>
      <c r="T48" s="1383"/>
      <c r="U48" s="1383"/>
      <c r="V48" s="1383"/>
      <c r="W48" s="1383"/>
    </row>
    <row r="49" spans="1:23">
      <c r="A49" s="1781" t="s">
        <v>1977</v>
      </c>
      <c r="B49" s="1782"/>
      <c r="C49" s="1782"/>
      <c r="D49" s="1782"/>
      <c r="E49" s="1597">
        <f t="shared" ref="E49:I49" si="27">SUM(E50:E51)</f>
        <v>162.25418298326807</v>
      </c>
      <c r="F49" s="1597">
        <f t="shared" si="27"/>
        <v>402.61327400815719</v>
      </c>
      <c r="G49" s="1597">
        <f t="shared" si="27"/>
        <v>399.36965895727167</v>
      </c>
      <c r="H49" s="1597">
        <f t="shared" si="27"/>
        <v>618.52932761087266</v>
      </c>
      <c r="I49" s="1597">
        <f t="shared" si="27"/>
        <v>617.14013377926403</v>
      </c>
      <c r="J49" s="1597">
        <f>SUM(J50:J51)</f>
        <v>602.04985337243409</v>
      </c>
      <c r="K49" s="1595">
        <f>SUM(K50:K51)</f>
        <v>460</v>
      </c>
      <c r="L49" s="1595">
        <f t="shared" ref="L49:O49" si="28">SUM(L50:L51)</f>
        <v>453</v>
      </c>
      <c r="M49" s="1595">
        <f t="shared" si="28"/>
        <v>443</v>
      </c>
      <c r="N49" s="1595">
        <f t="shared" si="28"/>
        <v>453</v>
      </c>
      <c r="O49" s="1596">
        <f t="shared" si="28"/>
        <v>445</v>
      </c>
      <c r="P49" s="1057"/>
    </row>
    <row r="50" spans="1:23">
      <c r="A50" s="1783" t="s">
        <v>1978</v>
      </c>
      <c r="B50" s="1784"/>
      <c r="C50" s="1784"/>
      <c r="D50" s="1784"/>
      <c r="E50" s="1597">
        <f>BG!P41/1000</f>
        <v>139.80847276610893</v>
      </c>
      <c r="F50" s="1597">
        <f>BG!O41/1000</f>
        <v>388.82017055988132</v>
      </c>
      <c r="G50" s="1597">
        <f>BG!N41/1000</f>
        <v>382.02508820070557</v>
      </c>
      <c r="H50" s="1597">
        <f>BG!M41/1000</f>
        <v>589.90593705293281</v>
      </c>
      <c r="I50" s="1597">
        <f>BG!L41/1000</f>
        <v>581.67224080267545</v>
      </c>
      <c r="J50" s="1597">
        <f>BG!K41/1000</f>
        <v>579.61466275659825</v>
      </c>
      <c r="K50" s="1595">
        <v>430</v>
      </c>
      <c r="L50" s="1595">
        <f>K50</f>
        <v>430</v>
      </c>
      <c r="M50" s="1595">
        <f>L50</f>
        <v>430</v>
      </c>
      <c r="N50" s="1595">
        <f t="shared" ref="N50:O50" si="29">M50</f>
        <v>430</v>
      </c>
      <c r="O50" s="1596">
        <f t="shared" si="29"/>
        <v>430</v>
      </c>
      <c r="P50" s="1057"/>
      <c r="Q50" s="1383"/>
      <c r="R50" s="1383"/>
      <c r="S50" s="1383"/>
      <c r="T50" s="1383"/>
      <c r="U50" s="1383"/>
      <c r="V50" s="1383"/>
      <c r="W50" s="1383"/>
    </row>
    <row r="51" spans="1:23">
      <c r="A51" s="1783" t="s">
        <v>1979</v>
      </c>
      <c r="B51" s="1784"/>
      <c r="C51" s="1784"/>
      <c r="D51" s="1784"/>
      <c r="E51" s="1597">
        <f>(BG!P46-BG!P41)/1000</f>
        <v>22.445710217159125</v>
      </c>
      <c r="F51" s="1597">
        <f>(BG!O46-BG!O41)/1000</f>
        <v>13.793103448275884</v>
      </c>
      <c r="G51" s="1597">
        <f>(BG!N46-BG!N41)/1000</f>
        <v>17.344570756566071</v>
      </c>
      <c r="H51" s="1597">
        <f>(BG!M46-BG!M41)/1000</f>
        <v>28.623390557939885</v>
      </c>
      <c r="I51" s="1597">
        <f>(BG!L46-BG!L41)/1000</f>
        <v>35.467892976588573</v>
      </c>
      <c r="J51" s="1597">
        <f>(BG!K46-BG!K41)/1000</f>
        <v>22.435190615835833</v>
      </c>
      <c r="K51" s="1595">
        <v>30</v>
      </c>
      <c r="L51" s="1595">
        <v>23</v>
      </c>
      <c r="M51" s="1595">
        <v>13</v>
      </c>
      <c r="N51" s="1595">
        <v>23</v>
      </c>
      <c r="O51" s="1596">
        <v>15</v>
      </c>
      <c r="P51" s="1057"/>
      <c r="Q51" s="1383"/>
      <c r="R51" s="1383"/>
      <c r="S51" s="1383"/>
      <c r="T51" s="1383"/>
      <c r="U51" s="1383"/>
      <c r="V51" s="1383"/>
      <c r="W51" s="1383"/>
    </row>
    <row r="52" spans="1:23">
      <c r="A52" s="1783" t="s">
        <v>1829</v>
      </c>
      <c r="B52" s="1784"/>
      <c r="C52" s="1784"/>
      <c r="D52" s="1784"/>
      <c r="E52" s="1597"/>
      <c r="F52" s="1597"/>
      <c r="G52" s="1597"/>
      <c r="H52" s="1597"/>
      <c r="I52" s="1597"/>
      <c r="J52" s="1597"/>
      <c r="K52" s="1595"/>
      <c r="L52" s="1595"/>
      <c r="M52" s="1595"/>
      <c r="N52" s="1595"/>
      <c r="O52" s="1596"/>
      <c r="P52" s="1057"/>
      <c r="Q52" s="1383"/>
      <c r="R52" s="1383"/>
      <c r="S52" s="1383"/>
      <c r="T52" s="1383"/>
      <c r="U52" s="1383"/>
      <c r="V52" s="1383"/>
      <c r="W52" s="1383"/>
    </row>
    <row r="53" spans="1:23">
      <c r="A53" s="1781" t="s">
        <v>1980</v>
      </c>
      <c r="B53" s="1782"/>
      <c r="C53" s="1782"/>
      <c r="D53" s="1782"/>
      <c r="E53" s="1597">
        <f t="shared" ref="E53:J53" si="30">SUM(E54:E57)</f>
        <v>245.22677109291561</v>
      </c>
      <c r="F53" s="1597">
        <f t="shared" si="30"/>
        <v>263.5287356321839</v>
      </c>
      <c r="G53" s="1597">
        <f t="shared" si="30"/>
        <v>302.93257546060363</v>
      </c>
      <c r="H53" s="1597">
        <f t="shared" si="30"/>
        <v>229.18884120171677</v>
      </c>
      <c r="I53" s="1597">
        <f t="shared" si="30"/>
        <v>212.66856187290969</v>
      </c>
      <c r="J53" s="1597">
        <f t="shared" si="30"/>
        <v>171.13577712609967</v>
      </c>
      <c r="K53" s="1595">
        <f>SUM(K54:K57)</f>
        <v>240.02477560492213</v>
      </c>
      <c r="L53" s="1595">
        <f t="shared" ref="L53:O53" si="31">SUM(L54:L57)</f>
        <v>305.13951569473835</v>
      </c>
      <c r="M53" s="1595">
        <f t="shared" si="31"/>
        <v>378.77989245289211</v>
      </c>
      <c r="N53" s="1595">
        <f t="shared" si="31"/>
        <v>458.61355134870587</v>
      </c>
      <c r="O53" s="1596">
        <f t="shared" si="31"/>
        <v>447.80087837499178</v>
      </c>
      <c r="P53" s="1057"/>
    </row>
    <row r="54" spans="1:23">
      <c r="A54" s="1783" t="s">
        <v>1981</v>
      </c>
      <c r="B54" s="1784"/>
      <c r="C54" s="1784"/>
      <c r="D54" s="1784"/>
      <c r="E54" s="1597">
        <f>(BG!P50+BG!P51)/1000</f>
        <v>232.44820220719114</v>
      </c>
      <c r="F54" s="1597">
        <f>(BG!O50+BG!O51)/1000</f>
        <v>242.10122358175749</v>
      </c>
      <c r="G54" s="1597">
        <f>(BG!N50+BG!N51)/1000</f>
        <v>255.95727165817323</v>
      </c>
      <c r="H54" s="1597">
        <f>(BG!M50+BG!M51)/1000</f>
        <v>233.52896995708159</v>
      </c>
      <c r="I54" s="1597">
        <f>(BG!L50+BG!L51)/1000</f>
        <v>218.37692307692308</v>
      </c>
      <c r="J54" s="1597">
        <f>(BG!K50+BG!K51)/1000</f>
        <v>191.35014662756595</v>
      </c>
      <c r="K54" s="1595">
        <f>SUM(BG!C50:C51)/Supuestos!D17/1000</f>
        <v>197.72848484848487</v>
      </c>
      <c r="L54" s="1595">
        <f>SUM(BG!D50:D51)/Supuestos!E17/1000</f>
        <v>193.75281899109791</v>
      </c>
      <c r="M54" s="1595">
        <f>SUM(BG!E50:E51)/Supuestos!F17/1000</f>
        <v>193.17958579881659</v>
      </c>
      <c r="N54" s="1595">
        <f>SUM(BG!F50:F51)/Supuestos!G17/1000</f>
        <v>194.90955223880599</v>
      </c>
      <c r="O54" s="1596">
        <f>SUM(BG!G50:G51)/Supuestos!H17/1000</f>
        <v>197.86272727272728</v>
      </c>
      <c r="P54" s="1057"/>
      <c r="Q54" s="1383"/>
      <c r="R54" s="1383"/>
      <c r="S54" s="1383"/>
      <c r="T54" s="1383"/>
      <c r="U54" s="1383"/>
      <c r="V54" s="1383"/>
      <c r="W54" s="1383"/>
    </row>
    <row r="55" spans="1:23">
      <c r="A55" s="1783" t="s">
        <v>1982</v>
      </c>
      <c r="B55" s="1784"/>
      <c r="C55" s="1784"/>
      <c r="D55" s="1784"/>
      <c r="E55" s="1597">
        <f>(BG!P53+BG!P52+BG!P54)/1000</f>
        <v>14.090423638305447</v>
      </c>
      <c r="F55" s="1597">
        <f>(BG!O53+BG!O52+BG!O54)/1000</f>
        <v>5.8446421950315166</v>
      </c>
      <c r="G55" s="1597">
        <f>(BG!N53+BG!N52+BG!N54)/1000</f>
        <v>5.5652685221481768</v>
      </c>
      <c r="H55" s="1597">
        <f>(BG!M53+BG!M52+BG!M54)/1000</f>
        <v>2.4603004291845494</v>
      </c>
      <c r="I55" s="1597">
        <f>(BG!L53+BG!L52+BG!L54)/1000</f>
        <v>-0.30434782608695604</v>
      </c>
      <c r="J55" s="1597">
        <f>(BG!K53+BG!K52+BG!K54)/1000</f>
        <v>10.4158357771261</v>
      </c>
      <c r="K55" s="1595">
        <v>10</v>
      </c>
      <c r="L55" s="1595">
        <v>10</v>
      </c>
      <c r="M55" s="1595">
        <v>10</v>
      </c>
      <c r="N55" s="1595">
        <v>8</v>
      </c>
      <c r="O55" s="1596">
        <v>10</v>
      </c>
      <c r="P55" s="1057"/>
      <c r="Q55" s="1383"/>
      <c r="R55" s="1383"/>
      <c r="S55" s="1383"/>
      <c r="T55" s="1383"/>
      <c r="U55" s="1383"/>
      <c r="V55" s="1383"/>
      <c r="W55" s="1383"/>
    </row>
    <row r="56" spans="1:23">
      <c r="A56" s="1783" t="s">
        <v>1983</v>
      </c>
      <c r="B56" s="1784"/>
      <c r="C56" s="1784"/>
      <c r="D56" s="1784"/>
      <c r="E56" s="1597">
        <f>BG!P55/1000</f>
        <v>-1.4823780704877179</v>
      </c>
      <c r="F56" s="1597">
        <f>BG!O55/1000</f>
        <v>15.404894327030034</v>
      </c>
      <c r="G56" s="1597">
        <f>BG!N55/1000</f>
        <v>41.209329674637395</v>
      </c>
      <c r="H56" s="1597">
        <f>BG!M55/1000</f>
        <v>-6.9767525035765381</v>
      </c>
      <c r="I56" s="1597">
        <f>BG!L55/1000</f>
        <v>-5.5879598662207357</v>
      </c>
      <c r="J56" s="1597">
        <f>BG!K55/1000</f>
        <v>-30.865102639296186</v>
      </c>
      <c r="K56" s="1595">
        <f>K23+J56</f>
        <v>32.296290756437273</v>
      </c>
      <c r="L56" s="1595">
        <f>L23+K56</f>
        <v>101.38669670364042</v>
      </c>
      <c r="M56" s="1595">
        <f>M23+L56</f>
        <v>175.6003066540755</v>
      </c>
      <c r="N56" s="1595">
        <f>N23+M56</f>
        <v>255.70399910989988</v>
      </c>
      <c r="O56" s="1596">
        <f>O23+N56-99</f>
        <v>239.9381511022645</v>
      </c>
      <c r="P56" s="1057"/>
      <c r="Q56" s="1383"/>
      <c r="R56" s="1383"/>
      <c r="S56" s="1383"/>
      <c r="T56" s="1383"/>
      <c r="U56" s="1383"/>
      <c r="V56" s="1383"/>
      <c r="W56" s="1383"/>
    </row>
    <row r="57" spans="1:23">
      <c r="A57" s="1783" t="s">
        <v>1984</v>
      </c>
      <c r="B57" s="1784"/>
      <c r="C57" s="1784"/>
      <c r="D57" s="1784"/>
      <c r="E57" s="1597">
        <f>BG!P56/1000</f>
        <v>0.17052331790672834</v>
      </c>
      <c r="F57" s="1597">
        <f>BG!O56/1000</f>
        <v>0.17797552836484981</v>
      </c>
      <c r="G57" s="1597">
        <f>BG!N56/1000</f>
        <v>0.20070560564484516</v>
      </c>
      <c r="H57" s="1597">
        <f>BG!M56/1000</f>
        <v>0.17632331902718171</v>
      </c>
      <c r="I57" s="1597">
        <f>BG!L56/1000</f>
        <v>0.18394648829431437</v>
      </c>
      <c r="J57" s="1597">
        <f>BG!K56/1000</f>
        <v>0.23489736070381229</v>
      </c>
      <c r="K57" s="1595">
        <v>0</v>
      </c>
      <c r="L57" s="1595">
        <v>0</v>
      </c>
      <c r="M57" s="1595">
        <v>0</v>
      </c>
      <c r="N57" s="1595">
        <v>0</v>
      </c>
      <c r="O57" s="1596">
        <v>0</v>
      </c>
      <c r="P57" s="1057"/>
      <c r="Q57" s="1383"/>
      <c r="R57" s="1383"/>
      <c r="S57" s="1383"/>
      <c r="T57" s="1383"/>
      <c r="U57" s="1383"/>
      <c r="V57" s="1383"/>
      <c r="W57" s="1383"/>
    </row>
    <row r="58" spans="1:23">
      <c r="A58" s="1783" t="s">
        <v>1829</v>
      </c>
      <c r="B58" s="1784"/>
      <c r="C58" s="1784"/>
      <c r="D58" s="1784"/>
      <c r="E58" s="1597"/>
      <c r="F58" s="1597"/>
      <c r="G58" s="1597"/>
      <c r="H58" s="1597"/>
      <c r="I58" s="1597"/>
      <c r="J58" s="1597"/>
      <c r="K58" s="1595"/>
      <c r="L58" s="1595"/>
      <c r="M58" s="1595"/>
      <c r="N58" s="1595"/>
      <c r="O58" s="1596"/>
      <c r="P58" s="1057"/>
      <c r="Q58" s="1383"/>
      <c r="R58" s="1383"/>
      <c r="S58" s="1383"/>
      <c r="T58" s="1383"/>
      <c r="U58" s="1383"/>
      <c r="V58" s="1383"/>
      <c r="W58" s="1383"/>
    </row>
    <row r="59" spans="1:23">
      <c r="A59" s="1781" t="s">
        <v>1985</v>
      </c>
      <c r="B59" s="1782"/>
      <c r="C59" s="1782"/>
      <c r="D59" s="1782"/>
      <c r="E59" s="1597">
        <f t="shared" ref="E59:J59" si="32">E53+E49+E44</f>
        <v>606.0922036311855</v>
      </c>
      <c r="F59" s="1597">
        <f t="shared" si="32"/>
        <v>872.78791249536516</v>
      </c>
      <c r="G59" s="1597">
        <f t="shared" si="32"/>
        <v>992.53704429635422</v>
      </c>
      <c r="H59" s="1597">
        <f t="shared" si="32"/>
        <v>1144.0611587982833</v>
      </c>
      <c r="I59" s="1597">
        <f t="shared" si="32"/>
        <v>1126.0842809364547</v>
      </c>
      <c r="J59" s="1597">
        <f t="shared" si="32"/>
        <v>1020.0428152492668</v>
      </c>
      <c r="K59" s="1595">
        <f>+K44+K49+K53</f>
        <v>922.97538982855167</v>
      </c>
      <c r="L59" s="1595">
        <f t="shared" ref="L59:O59" si="33">+L44+L49+L53</f>
        <v>958.81637317919194</v>
      </c>
      <c r="M59" s="1595">
        <f t="shared" si="33"/>
        <v>1069.8164716535211</v>
      </c>
      <c r="N59" s="1595">
        <f t="shared" si="33"/>
        <v>1112.4213624525801</v>
      </c>
      <c r="O59" s="1596">
        <f t="shared" si="33"/>
        <v>1112.8171738536687</v>
      </c>
      <c r="P59" s="1057"/>
    </row>
    <row r="60" spans="1:23">
      <c r="A60" s="1783" t="s">
        <v>1829</v>
      </c>
      <c r="B60" s="1784"/>
      <c r="C60" s="1784"/>
      <c r="D60" s="1784"/>
      <c r="E60" s="1597"/>
      <c r="F60" s="1597"/>
      <c r="G60" s="1597"/>
      <c r="H60" s="1597"/>
      <c r="I60" s="1597"/>
      <c r="J60" s="1597"/>
      <c r="K60" s="1595"/>
      <c r="L60" s="1595"/>
      <c r="M60" s="1595"/>
      <c r="N60" s="1595"/>
      <c r="O60" s="1596"/>
      <c r="P60" s="1057"/>
      <c r="Q60" s="1383"/>
      <c r="R60" s="1383"/>
      <c r="S60" s="1383"/>
      <c r="T60" s="1383"/>
      <c r="U60" s="1383"/>
      <c r="V60" s="1383"/>
      <c r="W60" s="1383"/>
    </row>
    <row r="61" spans="1:23">
      <c r="A61" s="1457"/>
      <c r="B61" s="1457"/>
      <c r="C61" s="1457"/>
      <c r="D61" s="1460"/>
      <c r="E61" s="1461"/>
      <c r="F61" s="1461"/>
      <c r="G61" s="1461"/>
      <c r="H61" s="1461"/>
      <c r="I61" s="1461"/>
      <c r="J61" s="1461"/>
      <c r="K61" s="1462">
        <f>K33+K40-K59</f>
        <v>-0.18948941603389358</v>
      </c>
      <c r="L61" s="1462">
        <f t="shared" ref="L61:O61" si="34">L33+L40-L59</f>
        <v>-0.29067572013400422</v>
      </c>
      <c r="M61" s="1462">
        <f t="shared" si="34"/>
        <v>0.12359081458839682</v>
      </c>
      <c r="N61" s="1462">
        <f t="shared" si="34"/>
        <v>-0.30204678426548526</v>
      </c>
      <c r="O61" s="1462">
        <f t="shared" si="34"/>
        <v>-0.35511300670077617</v>
      </c>
    </row>
    <row r="62" spans="1:23" ht="18.75">
      <c r="A62" s="1593" t="s">
        <v>1986</v>
      </c>
      <c r="B62" s="1593"/>
      <c r="C62" s="1593"/>
      <c r="D62" s="1593"/>
      <c r="E62" s="1593"/>
      <c r="F62" s="1593"/>
      <c r="G62" s="1593"/>
      <c r="H62" s="1593"/>
      <c r="I62" s="1593"/>
      <c r="J62" s="1593"/>
      <c r="K62" s="1593"/>
      <c r="L62" s="1593"/>
      <c r="M62" s="1593"/>
      <c r="N62" s="1593"/>
      <c r="O62" s="1593"/>
    </row>
    <row r="63" spans="1:23" ht="18.75">
      <c r="A63" s="1588" t="s">
        <v>1949</v>
      </c>
      <c r="B63" s="1589"/>
      <c r="C63" s="1589"/>
      <c r="D63" s="1589"/>
      <c r="E63" s="1590">
        <v>2010</v>
      </c>
      <c r="F63" s="1590">
        <v>2011</v>
      </c>
      <c r="G63" s="1590">
        <v>2012</v>
      </c>
      <c r="H63" s="1590">
        <v>2013</v>
      </c>
      <c r="I63" s="1590">
        <v>2014</v>
      </c>
      <c r="J63" s="1590">
        <v>2015</v>
      </c>
      <c r="K63" s="1591" t="s">
        <v>808</v>
      </c>
      <c r="L63" s="1591" t="s">
        <v>809</v>
      </c>
      <c r="M63" s="1591" t="s">
        <v>810</v>
      </c>
      <c r="N63" s="1591" t="s">
        <v>811</v>
      </c>
      <c r="O63" s="1591" t="s">
        <v>812</v>
      </c>
    </row>
    <row r="64" spans="1:23">
      <c r="A64" s="1781" t="s">
        <v>1831</v>
      </c>
      <c r="B64" s="1782"/>
      <c r="C64" s="1782"/>
      <c r="D64" s="1782"/>
      <c r="E64" s="1597">
        <f t="shared" ref="E64:J64" si="35">E23</f>
        <v>17.154859380562598</v>
      </c>
      <c r="F64" s="1597">
        <f t="shared" si="35"/>
        <v>16.949202817945768</v>
      </c>
      <c r="G64" s="1597">
        <f t="shared" si="35"/>
        <v>29.528812230497962</v>
      </c>
      <c r="H64" s="1597">
        <f t="shared" si="35"/>
        <v>-25.89949928469234</v>
      </c>
      <c r="I64" s="1597">
        <f t="shared" si="35"/>
        <v>0.95518394648826188</v>
      </c>
      <c r="J64" s="1597">
        <f t="shared" si="35"/>
        <v>-25.891788856305091</v>
      </c>
      <c r="K64" s="1595">
        <f>K23</f>
        <v>63.161393395733455</v>
      </c>
      <c r="L64" s="1595">
        <f t="shared" ref="L64:O64" si="36">L23</f>
        <v>69.090405947203152</v>
      </c>
      <c r="M64" s="1595">
        <f t="shared" si="36"/>
        <v>74.213609950435057</v>
      </c>
      <c r="N64" s="1595">
        <f t="shared" si="36"/>
        <v>80.103692455824373</v>
      </c>
      <c r="O64" s="1596">
        <f t="shared" si="36"/>
        <v>83.234151992364602</v>
      </c>
      <c r="P64" s="1057"/>
    </row>
    <row r="65" spans="1:23">
      <c r="A65" s="1783" t="s">
        <v>1832</v>
      </c>
      <c r="B65" s="1784"/>
      <c r="C65" s="1784"/>
      <c r="D65" s="1784"/>
      <c r="E65" s="1597">
        <v>42.022427910288357</v>
      </c>
      <c r="F65" s="1597">
        <v>37.472376714868375</v>
      </c>
      <c r="G65" s="1597">
        <v>46.127401019208151</v>
      </c>
      <c r="H65" s="1597">
        <v>45.522889842632331</v>
      </c>
      <c r="I65" s="1597">
        <v>48.463879598662196</v>
      </c>
      <c r="J65" s="1597">
        <v>48.807624633431082</v>
      </c>
      <c r="K65" s="1595">
        <f>-Depreciacion!AL34/1000</f>
        <v>31.878478838960309</v>
      </c>
      <c r="L65" s="1595">
        <f>-Depreciacion!AM34/1000</f>
        <v>31.742473097292375</v>
      </c>
      <c r="M65" s="1595">
        <f>-Depreciacion!AN34/1000</f>
        <v>31.621629961184567</v>
      </c>
      <c r="N65" s="1595">
        <f>-Depreciacion!AO34/1000</f>
        <v>31.514259026948398</v>
      </c>
      <c r="O65" s="1596">
        <f>-Depreciacion!AP34/1000</f>
        <v>29.465733917510736</v>
      </c>
      <c r="P65" s="1057"/>
      <c r="Q65" s="1383"/>
      <c r="R65" s="1383"/>
      <c r="S65" s="1383"/>
      <c r="T65" s="1383"/>
      <c r="U65" s="1383"/>
      <c r="V65" s="1383"/>
      <c r="W65" s="1383"/>
    </row>
    <row r="66" spans="1:23">
      <c r="A66" s="1783" t="s">
        <v>1833</v>
      </c>
      <c r="B66" s="1784"/>
      <c r="C66" s="1784"/>
      <c r="D66" s="1784"/>
      <c r="E66" s="1597">
        <v>6.6941972232111064</v>
      </c>
      <c r="F66" s="1597">
        <v>-23.892102335928808</v>
      </c>
      <c r="G66" s="1597">
        <v>23.600940807526456</v>
      </c>
      <c r="H66" s="1597">
        <v>56.045779685264662</v>
      </c>
      <c r="I66" s="1597">
        <v>5.264882943143812</v>
      </c>
      <c r="J66" s="1597">
        <v>67.104105571847498</v>
      </c>
      <c r="K66" s="1595">
        <v>30</v>
      </c>
      <c r="L66" s="1595"/>
      <c r="M66" s="1595"/>
      <c r="N66" s="1595"/>
      <c r="O66" s="1596">
        <v>-50</v>
      </c>
      <c r="P66" s="1057"/>
      <c r="Q66" s="1383"/>
      <c r="R66" s="1383"/>
      <c r="S66" s="1383"/>
      <c r="T66" s="1383"/>
      <c r="U66" s="1383"/>
      <c r="V66" s="1383"/>
      <c r="W66" s="1383"/>
    </row>
    <row r="67" spans="1:23">
      <c r="A67" s="1783" t="s">
        <v>1853</v>
      </c>
      <c r="B67" s="1784"/>
      <c r="C67" s="1784"/>
      <c r="D67" s="1784"/>
      <c r="E67" s="1597">
        <v>-11.181915272338911</v>
      </c>
      <c r="F67" s="1597">
        <v>76.829810901001096</v>
      </c>
      <c r="G67" s="1597">
        <v>-23.972559780478242</v>
      </c>
      <c r="H67" s="1597">
        <v>23.517882689556512</v>
      </c>
      <c r="I67" s="1597">
        <v>24.238461538461536</v>
      </c>
      <c r="J67" s="1597">
        <v>47.434310850439886</v>
      </c>
      <c r="K67" s="1595">
        <f>-CapitalTrabajo!N41/1000</f>
        <v>-21.967314447528885</v>
      </c>
      <c r="L67" s="1595">
        <f>-CapitalTrabajo!O41/1000</f>
        <v>-10.513771110105939</v>
      </c>
      <c r="M67" s="1595">
        <f>-CapitalTrabajo!P41/1000</f>
        <v>10.341885652204539</v>
      </c>
      <c r="N67" s="1595">
        <f>-CapitalTrabajo!Q41/1000</f>
        <v>-14.2723952346578</v>
      </c>
      <c r="O67" s="1596">
        <f>-CapitalTrabajo!R41/1000</f>
        <v>-2.0783022016225732</v>
      </c>
      <c r="P67" s="1057"/>
      <c r="Q67" s="1383"/>
      <c r="R67" s="1383"/>
      <c r="S67" s="1383"/>
      <c r="T67" s="1383"/>
      <c r="U67" s="1383"/>
      <c r="V67" s="1383"/>
      <c r="W67" s="1383"/>
    </row>
    <row r="68" spans="1:23">
      <c r="A68" s="1781" t="s">
        <v>1834</v>
      </c>
      <c r="B68" s="1782"/>
      <c r="C68" s="1782"/>
      <c r="D68" s="1782"/>
      <c r="E68" s="1597">
        <f>SUM(E64:E67)</f>
        <v>54.689569241723149</v>
      </c>
      <c r="F68" s="1597">
        <f t="shared" ref="F68:J68" si="37">SUM(F64:F67)</f>
        <v>107.35928809788643</v>
      </c>
      <c r="G68" s="1597">
        <f t="shared" si="37"/>
        <v>75.284594276754319</v>
      </c>
      <c r="H68" s="1597">
        <f t="shared" si="37"/>
        <v>99.187052932761176</v>
      </c>
      <c r="I68" s="1597">
        <f t="shared" si="37"/>
        <v>78.922408026755804</v>
      </c>
      <c r="J68" s="1597">
        <f t="shared" si="37"/>
        <v>137.45425219941336</v>
      </c>
      <c r="K68" s="1595">
        <f>SUM(K64:K67)</f>
        <v>103.07255778716487</v>
      </c>
      <c r="L68" s="1595">
        <f t="shared" ref="L68:O68" si="38">SUM(L64:L67)</f>
        <v>90.319107934389592</v>
      </c>
      <c r="M68" s="1595">
        <f t="shared" si="38"/>
        <v>116.17712556382416</v>
      </c>
      <c r="N68" s="1595">
        <f t="shared" si="38"/>
        <v>97.345556248114974</v>
      </c>
      <c r="O68" s="1596">
        <f t="shared" si="38"/>
        <v>60.621583708252764</v>
      </c>
      <c r="P68" s="1057"/>
    </row>
    <row r="69" spans="1:23">
      <c r="A69" s="1783" t="s">
        <v>1829</v>
      </c>
      <c r="B69" s="1784"/>
      <c r="C69" s="1784"/>
      <c r="D69" s="1784"/>
      <c r="E69" s="1597"/>
      <c r="F69" s="1597"/>
      <c r="G69" s="1597"/>
      <c r="H69" s="1597"/>
      <c r="I69" s="1597"/>
      <c r="J69" s="1597"/>
      <c r="K69" s="1595"/>
      <c r="L69" s="1595"/>
      <c r="M69" s="1595"/>
      <c r="N69" s="1595"/>
      <c r="O69" s="1596"/>
      <c r="P69" s="1057"/>
      <c r="Q69" s="1383"/>
      <c r="R69" s="1383"/>
      <c r="S69" s="1383"/>
      <c r="T69" s="1383"/>
      <c r="U69" s="1383"/>
      <c r="V69" s="1383"/>
      <c r="W69" s="1383"/>
    </row>
    <row r="70" spans="1:23">
      <c r="A70" s="1783" t="s">
        <v>1835</v>
      </c>
      <c r="B70" s="1784"/>
      <c r="C70" s="1784"/>
      <c r="D70" s="1784"/>
      <c r="E70" s="1597">
        <v>14.854396582413669</v>
      </c>
      <c r="F70" s="1597">
        <v>12.07304412309974</v>
      </c>
      <c r="G70" s="1597">
        <v>10.311642493139944</v>
      </c>
      <c r="H70" s="1597">
        <v>0.83369098712446355</v>
      </c>
      <c r="I70" s="1597">
        <v>16.855852842809362</v>
      </c>
      <c r="J70" s="1597">
        <v>2.2202346041055718</v>
      </c>
      <c r="K70" s="1595">
        <f>-Depreciacion!AL31/1000</f>
        <v>41.103342270164497</v>
      </c>
      <c r="L70" s="1595">
        <f>-Depreciacion!AM31/1000</f>
        <v>40.906919565988481</v>
      </c>
      <c r="M70" s="1595">
        <f>-Depreciacion!AN31/1000</f>
        <v>40.732395054858941</v>
      </c>
      <c r="N70" s="1595">
        <f>-Depreciacion!AO31/1000</f>
        <v>40.577327415846554</v>
      </c>
      <c r="O70" s="1596">
        <f>-Depreciacion!AP31/1000</f>
        <v>40.439547498783632</v>
      </c>
      <c r="P70" s="1057"/>
      <c r="Q70" s="1383"/>
      <c r="R70" s="1383"/>
      <c r="S70" s="1383"/>
      <c r="T70" s="1383"/>
      <c r="U70" s="1383"/>
      <c r="V70" s="1383"/>
      <c r="W70" s="1383"/>
    </row>
    <row r="71" spans="1:23">
      <c r="A71" s="1783" t="s">
        <v>1836</v>
      </c>
      <c r="B71" s="1784"/>
      <c r="C71" s="1784"/>
      <c r="D71" s="1784"/>
      <c r="E71" s="1597">
        <v>-57.572089711641148</v>
      </c>
      <c r="F71" s="1597">
        <v>-131.20504263997032</v>
      </c>
      <c r="G71" s="1597">
        <v>-114.4096432771462</v>
      </c>
      <c r="H71" s="1597">
        <v>-180.33547925608011</v>
      </c>
      <c r="I71" s="1597">
        <v>-181.02608695652174</v>
      </c>
      <c r="J71" s="1597">
        <v>-73.828152492668622</v>
      </c>
      <c r="K71" s="1595">
        <f>-Depreciacion!AL32/1000</f>
        <v>-70</v>
      </c>
      <c r="L71" s="1595">
        <f>-Depreciacion!AM32/1000</f>
        <v>-70</v>
      </c>
      <c r="M71" s="1595">
        <f>-Depreciacion!AN32/1000</f>
        <v>-70</v>
      </c>
      <c r="N71" s="1595">
        <f>-Depreciacion!AO32/1000</f>
        <v>-70</v>
      </c>
      <c r="O71" s="1596">
        <f>-Depreciacion!AP32/1000</f>
        <v>-30</v>
      </c>
      <c r="P71" s="1057"/>
      <c r="Q71" s="1383"/>
      <c r="R71" s="1383"/>
      <c r="S71" s="1383"/>
      <c r="T71" s="1383"/>
      <c r="U71" s="1383"/>
      <c r="V71" s="1383"/>
      <c r="W71" s="1383"/>
    </row>
    <row r="72" spans="1:23">
      <c r="A72" s="1783" t="s">
        <v>1837</v>
      </c>
      <c r="B72" s="1784"/>
      <c r="C72" s="1784"/>
      <c r="D72" s="1784"/>
      <c r="E72" s="1597">
        <v>0</v>
      </c>
      <c r="F72" s="1597">
        <v>0</v>
      </c>
      <c r="G72" s="1597">
        <v>-90</v>
      </c>
      <c r="H72" s="1597">
        <v>64</v>
      </c>
      <c r="I72" s="1597">
        <v>12</v>
      </c>
      <c r="J72" s="1597">
        <v>0</v>
      </c>
      <c r="K72" s="1595">
        <v>15</v>
      </c>
      <c r="L72" s="1595">
        <v>-30</v>
      </c>
      <c r="M72" s="1595">
        <v>-30</v>
      </c>
      <c r="N72" s="1595">
        <v>-30</v>
      </c>
      <c r="O72" s="1596">
        <v>-30</v>
      </c>
      <c r="P72" s="1057"/>
      <c r="Q72" s="1383"/>
      <c r="R72" s="1383"/>
      <c r="S72" s="1383"/>
      <c r="T72" s="1383"/>
      <c r="U72" s="1383"/>
      <c r="V72" s="1383"/>
      <c r="W72" s="1383"/>
    </row>
    <row r="73" spans="1:23">
      <c r="A73" s="1781" t="s">
        <v>1838</v>
      </c>
      <c r="B73" s="1782"/>
      <c r="C73" s="1782"/>
      <c r="D73" s="1782"/>
      <c r="E73" s="1597">
        <f t="shared" ref="E73:J73" si="39">SUM(E70:E72)</f>
        <v>-42.717693129227477</v>
      </c>
      <c r="F73" s="1597">
        <f t="shared" si="39"/>
        <v>-119.13199851687058</v>
      </c>
      <c r="G73" s="1597">
        <f t="shared" si="39"/>
        <v>-194.09800078400627</v>
      </c>
      <c r="H73" s="1597">
        <f t="shared" si="39"/>
        <v>-115.50178826895564</v>
      </c>
      <c r="I73" s="1597">
        <f t="shared" si="39"/>
        <v>-152.17023411371238</v>
      </c>
      <c r="J73" s="1597">
        <f t="shared" si="39"/>
        <v>-71.607917888563051</v>
      </c>
      <c r="K73" s="1595">
        <f>SUM(K70:K72)</f>
        <v>-13.896657729835503</v>
      </c>
      <c r="L73" s="1595">
        <f t="shared" ref="L73:O73" si="40">SUM(L70:L72)</f>
        <v>-59.093080434011519</v>
      </c>
      <c r="M73" s="1595">
        <f t="shared" si="40"/>
        <v>-59.267604945141059</v>
      </c>
      <c r="N73" s="1595">
        <f t="shared" si="40"/>
        <v>-59.422672584153446</v>
      </c>
      <c r="O73" s="1596">
        <f t="shared" si="40"/>
        <v>-19.560452501216368</v>
      </c>
      <c r="P73" s="1057"/>
    </row>
    <row r="74" spans="1:23">
      <c r="A74" s="1783" t="s">
        <v>1829</v>
      </c>
      <c r="B74" s="1784"/>
      <c r="C74" s="1784"/>
      <c r="D74" s="1784"/>
      <c r="E74" s="1597"/>
      <c r="F74" s="1597"/>
      <c r="G74" s="1597"/>
      <c r="H74" s="1597"/>
      <c r="I74" s="1597"/>
      <c r="J74" s="1597"/>
      <c r="K74" s="1595"/>
      <c r="L74" s="1595"/>
      <c r="M74" s="1595"/>
      <c r="N74" s="1595"/>
      <c r="O74" s="1596"/>
      <c r="P74" s="1057"/>
      <c r="Q74" s="1383"/>
      <c r="R74" s="1383"/>
      <c r="S74" s="1383"/>
      <c r="T74" s="1383"/>
      <c r="U74" s="1383"/>
      <c r="V74" s="1383"/>
      <c r="W74" s="1383"/>
    </row>
    <row r="75" spans="1:23">
      <c r="A75" s="1783" t="s">
        <v>1839</v>
      </c>
      <c r="B75" s="1784"/>
      <c r="C75" s="1784"/>
      <c r="D75" s="1784"/>
      <c r="E75" s="1597">
        <v>0</v>
      </c>
      <c r="F75" s="1597">
        <v>0</v>
      </c>
      <c r="G75" s="1597">
        <v>0</v>
      </c>
      <c r="H75" s="1597">
        <f>-52.173/BG!M3</f>
        <v>-18.659871244635195</v>
      </c>
      <c r="I75" s="1597">
        <v>0</v>
      </c>
      <c r="J75" s="1597">
        <v>0</v>
      </c>
      <c r="K75" s="1595">
        <v>0</v>
      </c>
      <c r="L75" s="1595">
        <v>0</v>
      </c>
      <c r="M75" s="1595">
        <f>-M23*0.3</f>
        <v>-22.264082985130518</v>
      </c>
      <c r="N75" s="1595">
        <v>0</v>
      </c>
      <c r="O75" s="1596">
        <v>0</v>
      </c>
      <c r="P75" s="1057"/>
      <c r="Q75" s="1383"/>
      <c r="R75" s="1383"/>
      <c r="S75" s="1383"/>
      <c r="T75" s="1383"/>
      <c r="U75" s="1383"/>
      <c r="V75" s="1383"/>
      <c r="W75" s="1383"/>
    </row>
    <row r="76" spans="1:23">
      <c r="A76" s="1783" t="s">
        <v>1849</v>
      </c>
      <c r="B76" s="1784"/>
      <c r="C76" s="1784"/>
      <c r="D76" s="1784"/>
      <c r="E76" s="1597">
        <v>24.55678177287291</v>
      </c>
      <c r="F76" s="1597">
        <v>634.12347052280313</v>
      </c>
      <c r="G76" s="1597">
        <v>164.2630341042728</v>
      </c>
      <c r="H76" s="1597">
        <v>259.34907010014308</v>
      </c>
      <c r="I76" s="1597">
        <v>0</v>
      </c>
      <c r="J76" s="1597">
        <v>15.262756598240468</v>
      </c>
      <c r="K76" s="1595">
        <v>6</v>
      </c>
      <c r="L76" s="1595">
        <v>10</v>
      </c>
      <c r="M76" s="1595">
        <v>5</v>
      </c>
      <c r="N76" s="1595">
        <v>15</v>
      </c>
      <c r="O76" s="1596">
        <v>8</v>
      </c>
      <c r="P76" s="1057"/>
      <c r="Q76" s="1383"/>
      <c r="R76" s="1383"/>
      <c r="S76" s="1383"/>
      <c r="T76" s="1383"/>
      <c r="U76" s="1383"/>
      <c r="V76" s="1383"/>
      <c r="W76" s="1383"/>
    </row>
    <row r="77" spans="1:23">
      <c r="A77" s="1783" t="s">
        <v>1850</v>
      </c>
      <c r="B77" s="1784"/>
      <c r="C77" s="1784"/>
      <c r="D77" s="1784"/>
      <c r="E77" s="1597">
        <v>-22.090423638305445</v>
      </c>
      <c r="F77" s="1597">
        <v>-451.92732665925098</v>
      </c>
      <c r="G77" s="1597">
        <v>-143.74676597412778</v>
      </c>
      <c r="H77" s="1597">
        <v>-89.413090128755371</v>
      </c>
      <c r="I77" s="1597">
        <v>-9.2474916387959851</v>
      </c>
      <c r="J77" s="1597">
        <v>-26.856304985337243</v>
      </c>
      <c r="K77" s="1595">
        <f>K50-J50</f>
        <v>-149.61466275659825</v>
      </c>
      <c r="L77" s="1595">
        <f t="shared" ref="L77:N77" si="41">L50-K50</f>
        <v>0</v>
      </c>
      <c r="M77" s="1595">
        <f t="shared" si="41"/>
        <v>0</v>
      </c>
      <c r="N77" s="1595">
        <f t="shared" si="41"/>
        <v>0</v>
      </c>
      <c r="O77" s="1596">
        <v>-3</v>
      </c>
      <c r="P77" s="1057"/>
      <c r="Q77" s="1383"/>
      <c r="R77" s="1383"/>
      <c r="S77" s="1383"/>
      <c r="T77" s="1383"/>
      <c r="U77" s="1383"/>
      <c r="V77" s="1383"/>
      <c r="W77" s="1383"/>
    </row>
    <row r="78" spans="1:23">
      <c r="A78" s="1783" t="s">
        <v>1851</v>
      </c>
      <c r="B78" s="1784"/>
      <c r="C78" s="1784"/>
      <c r="D78" s="1784"/>
      <c r="E78" s="1597"/>
      <c r="F78" s="1597"/>
      <c r="G78" s="1597"/>
      <c r="H78" s="1597"/>
      <c r="I78" s="1597"/>
      <c r="J78" s="1597"/>
      <c r="K78" s="1595"/>
      <c r="L78" s="1595"/>
      <c r="M78" s="1595"/>
      <c r="N78" s="1595"/>
      <c r="O78" s="1596"/>
      <c r="P78" s="1057"/>
      <c r="Q78" s="1383"/>
      <c r="R78" s="1383"/>
      <c r="S78" s="1383"/>
      <c r="T78" s="1383"/>
      <c r="U78" s="1383"/>
      <c r="V78" s="1383"/>
      <c r="W78" s="1383"/>
    </row>
    <row r="79" spans="1:23">
      <c r="A79" s="1783" t="s">
        <v>1852</v>
      </c>
      <c r="B79" s="1784"/>
      <c r="C79" s="1784"/>
      <c r="D79" s="1784"/>
      <c r="E79" s="1597"/>
      <c r="F79" s="1597"/>
      <c r="G79" s="1597"/>
      <c r="H79" s="1597"/>
      <c r="I79" s="1597"/>
      <c r="J79" s="1597"/>
      <c r="K79" s="1595"/>
      <c r="L79" s="1595"/>
      <c r="M79" s="1595"/>
      <c r="N79" s="1595"/>
      <c r="O79" s="1596"/>
      <c r="P79" s="1057"/>
      <c r="Q79" s="1383"/>
      <c r="R79" s="1383"/>
      <c r="S79" s="1383"/>
      <c r="T79" s="1383"/>
      <c r="U79" s="1383"/>
      <c r="V79" s="1383"/>
      <c r="W79" s="1383"/>
    </row>
    <row r="80" spans="1:23">
      <c r="A80" s="1783" t="s">
        <v>1840</v>
      </c>
      <c r="B80" s="1784"/>
      <c r="C80" s="1784"/>
      <c r="D80" s="1784"/>
      <c r="E80" s="1597">
        <v>-7.8408686365254532</v>
      </c>
      <c r="F80" s="1597">
        <v>-15.68780126065999</v>
      </c>
      <c r="G80" s="1597">
        <v>-25.57938063504508</v>
      </c>
      <c r="H80" s="1597">
        <v>-25.898068669527898</v>
      </c>
      <c r="I80" s="1597">
        <v>0</v>
      </c>
      <c r="J80" s="1597">
        <v>0</v>
      </c>
      <c r="K80" s="1595">
        <v>-10</v>
      </c>
      <c r="L80" s="1595">
        <v>-15</v>
      </c>
      <c r="M80" s="1595">
        <v>-15</v>
      </c>
      <c r="N80" s="1595">
        <v>-5</v>
      </c>
      <c r="O80" s="1596">
        <v>-15</v>
      </c>
      <c r="P80" s="1057"/>
      <c r="Q80" s="1383"/>
      <c r="R80" s="1383"/>
      <c r="S80" s="1383"/>
      <c r="T80" s="1383"/>
      <c r="U80" s="1383"/>
      <c r="V80" s="1383"/>
      <c r="W80" s="1383"/>
    </row>
    <row r="81" spans="1:23">
      <c r="A81" s="1781" t="s">
        <v>1841</v>
      </c>
      <c r="B81" s="1782"/>
      <c r="C81" s="1782"/>
      <c r="D81" s="1782"/>
      <c r="E81" s="1597">
        <f t="shared" ref="E81:O81" si="42">SUM(E75:E80)</f>
        <v>-5.3745105019579889</v>
      </c>
      <c r="F81" s="1597">
        <f t="shared" si="42"/>
        <v>166.50834260289216</v>
      </c>
      <c r="G81" s="1597">
        <f t="shared" si="42"/>
        <v>-5.063112504900058</v>
      </c>
      <c r="H81" s="1597">
        <f t="shared" si="42"/>
        <v>125.37804005722461</v>
      </c>
      <c r="I81" s="1597">
        <f t="shared" si="42"/>
        <v>-9.2474916387959851</v>
      </c>
      <c r="J81" s="1597">
        <f t="shared" si="42"/>
        <v>-11.593548387096774</v>
      </c>
      <c r="K81" s="1595">
        <f t="shared" si="42"/>
        <v>-153.61466275659825</v>
      </c>
      <c r="L81" s="1595">
        <f t="shared" si="42"/>
        <v>-5</v>
      </c>
      <c r="M81" s="1595">
        <f t="shared" si="42"/>
        <v>-32.264082985130514</v>
      </c>
      <c r="N81" s="1595">
        <f t="shared" si="42"/>
        <v>10</v>
      </c>
      <c r="O81" s="1596">
        <f t="shared" si="42"/>
        <v>-10</v>
      </c>
      <c r="P81" s="1057"/>
    </row>
    <row r="82" spans="1:23">
      <c r="A82" s="1783" t="s">
        <v>1829</v>
      </c>
      <c r="B82" s="1784"/>
      <c r="C82" s="1784"/>
      <c r="D82" s="1784"/>
      <c r="E82" s="1597"/>
      <c r="F82" s="1597"/>
      <c r="G82" s="1597"/>
      <c r="H82" s="1597"/>
      <c r="I82" s="1597"/>
      <c r="J82" s="1597"/>
      <c r="K82" s="1595"/>
      <c r="L82" s="1595"/>
      <c r="M82" s="1595"/>
      <c r="N82" s="1595"/>
      <c r="O82" s="1596"/>
      <c r="P82" s="1057"/>
      <c r="Q82" s="1383"/>
      <c r="R82" s="1383"/>
      <c r="S82" s="1383"/>
      <c r="T82" s="1383"/>
      <c r="U82" s="1383"/>
      <c r="V82" s="1383"/>
      <c r="W82" s="1383"/>
    </row>
    <row r="83" spans="1:23">
      <c r="A83" s="1781" t="s">
        <v>1842</v>
      </c>
      <c r="B83" s="1782"/>
      <c r="C83" s="1782"/>
      <c r="D83" s="1782"/>
      <c r="E83" s="1597">
        <f>E68+E73+E81</f>
        <v>6.5973656105376826</v>
      </c>
      <c r="F83" s="1597">
        <f t="shared" ref="F83:J83" si="43">F68+F73+F81</f>
        <v>154.73563218390802</v>
      </c>
      <c r="G83" s="1597">
        <f t="shared" si="43"/>
        <v>-123.87651901215202</v>
      </c>
      <c r="H83" s="1597">
        <f t="shared" si="43"/>
        <v>109.06330472103015</v>
      </c>
      <c r="I83" s="1597">
        <f t="shared" si="43"/>
        <v>-82.495317725752557</v>
      </c>
      <c r="J83" s="1597">
        <f t="shared" si="43"/>
        <v>54.252785923753535</v>
      </c>
      <c r="K83" s="1595">
        <f>+K68+K73+K81</f>
        <v>-64.438762699268892</v>
      </c>
      <c r="L83" s="1595">
        <f>+L68+L73+L81</f>
        <v>26.226027500378073</v>
      </c>
      <c r="M83" s="1595">
        <f>+M68+M73+M81</f>
        <v>24.645437633552589</v>
      </c>
      <c r="N83" s="1595">
        <f>+N68+N73+N81</f>
        <v>47.922883663961528</v>
      </c>
      <c r="O83" s="1596">
        <f>+O68+O73+O81</f>
        <v>31.061131207036397</v>
      </c>
      <c r="P83" s="1057"/>
    </row>
    <row r="84" spans="1:23">
      <c r="A84" s="1783" t="s">
        <v>1829</v>
      </c>
      <c r="B84" s="1784"/>
      <c r="C84" s="1784"/>
      <c r="D84" s="1784"/>
      <c r="E84" s="1597"/>
      <c r="F84" s="1597"/>
      <c r="G84" s="1597"/>
      <c r="H84" s="1597"/>
      <c r="I84" s="1597"/>
      <c r="J84" s="1597"/>
      <c r="K84" s="1595"/>
      <c r="L84" s="1595"/>
      <c r="M84" s="1595"/>
      <c r="N84" s="1595"/>
      <c r="O84" s="1596"/>
      <c r="P84" s="1057"/>
      <c r="Q84" s="1383"/>
      <c r="R84" s="1383"/>
      <c r="S84" s="1383"/>
      <c r="T84" s="1383"/>
      <c r="U84" s="1383"/>
      <c r="V84" s="1383"/>
      <c r="W84" s="1383"/>
    </row>
    <row r="85" spans="1:23">
      <c r="A85" s="1457"/>
      <c r="B85" s="1457"/>
      <c r="C85" s="1457"/>
      <c r="D85" s="1458"/>
      <c r="E85" s="1457"/>
      <c r="F85" s="1457"/>
      <c r="G85" s="1457"/>
      <c r="H85" s="1457"/>
      <c r="I85" s="1457"/>
      <c r="J85" s="1457"/>
      <c r="K85" s="1458"/>
      <c r="L85" s="1458"/>
      <c r="M85" s="1458"/>
      <c r="N85" s="1458"/>
      <c r="O85" s="1458"/>
    </row>
    <row r="86" spans="1:23" ht="18.75">
      <c r="A86" s="1593" t="s">
        <v>1843</v>
      </c>
      <c r="B86" s="1593"/>
      <c r="C86" s="1593"/>
      <c r="D86" s="1593"/>
      <c r="E86" s="1593"/>
      <c r="F86" s="1593"/>
      <c r="G86" s="1593"/>
      <c r="H86" s="1593"/>
      <c r="I86" s="1593"/>
      <c r="J86" s="1593"/>
      <c r="K86" s="1593"/>
      <c r="L86" s="1593"/>
      <c r="M86" s="1593"/>
      <c r="N86" s="1593"/>
      <c r="O86" s="1593"/>
    </row>
    <row r="87" spans="1:23" ht="18.75">
      <c r="A87" s="1588" t="s">
        <v>1949</v>
      </c>
      <c r="B87" s="1589"/>
      <c r="C87" s="1589"/>
      <c r="D87" s="1589"/>
      <c r="E87" s="1590">
        <v>2010</v>
      </c>
      <c r="F87" s="1590">
        <v>2011</v>
      </c>
      <c r="G87" s="1590">
        <v>2012</v>
      </c>
      <c r="H87" s="1590">
        <v>2013</v>
      </c>
      <c r="I87" s="1590">
        <v>2014</v>
      </c>
      <c r="J87" s="1590">
        <v>2015</v>
      </c>
      <c r="K87" s="1591" t="s">
        <v>808</v>
      </c>
      <c r="L87" s="1591" t="s">
        <v>809</v>
      </c>
      <c r="M87" s="1591" t="s">
        <v>810</v>
      </c>
      <c r="N87" s="1591" t="s">
        <v>811</v>
      </c>
      <c r="O87" s="1591" t="s">
        <v>812</v>
      </c>
    </row>
    <row r="88" spans="1:23">
      <c r="A88" s="1781" t="s">
        <v>1793</v>
      </c>
      <c r="B88" s="1782"/>
      <c r="C88" s="1782"/>
      <c r="D88" s="1782"/>
      <c r="E88" s="1597"/>
      <c r="F88" s="1597"/>
      <c r="G88" s="1597"/>
      <c r="H88" s="1597"/>
      <c r="I88" s="1597"/>
      <c r="J88" s="1597"/>
      <c r="K88" s="1595"/>
      <c r="L88" s="1595"/>
      <c r="M88" s="1595"/>
      <c r="N88" s="1595"/>
      <c r="O88" s="1596"/>
      <c r="P88" s="1057"/>
    </row>
    <row r="89" spans="1:23">
      <c r="A89" s="1783" t="s">
        <v>1795</v>
      </c>
      <c r="B89" s="1784"/>
      <c r="C89" s="1784"/>
      <c r="D89" s="1784"/>
      <c r="E89" s="1603">
        <f>E33/E44</f>
        <v>0.8530307457084525</v>
      </c>
      <c r="F89" s="1603">
        <f t="shared" ref="F89:O89" si="44">F33/F44</f>
        <v>1.4808154682016208</v>
      </c>
      <c r="G89" s="1603">
        <f t="shared" si="44"/>
        <v>0.72429493144819823</v>
      </c>
      <c r="H89" s="1603">
        <f t="shared" si="44"/>
        <v>1.2395353468304016</v>
      </c>
      <c r="I89" s="1603">
        <f t="shared" si="44"/>
        <v>0.93036064226562998</v>
      </c>
      <c r="J89" s="1603">
        <f t="shared" si="44"/>
        <v>1.0050036648399887</v>
      </c>
      <c r="K89" s="1604">
        <f t="shared" si="44"/>
        <v>0.90510152737495531</v>
      </c>
      <c r="L89" s="1604">
        <f t="shared" si="44"/>
        <v>1.0124841185962505</v>
      </c>
      <c r="M89" s="1604">
        <f t="shared" si="44"/>
        <v>1.1891412232359944</v>
      </c>
      <c r="N89" s="1604">
        <f t="shared" si="44"/>
        <v>1.6843038076140973</v>
      </c>
      <c r="O89" s="1605">
        <f t="shared" si="44"/>
        <v>1.7201879824966646</v>
      </c>
      <c r="P89" s="1057"/>
      <c r="Q89" s="1383"/>
      <c r="R89" s="1383"/>
      <c r="S89" s="1383"/>
      <c r="T89" s="1383"/>
      <c r="U89" s="1383"/>
      <c r="V89" s="1383"/>
      <c r="W89" s="1383"/>
    </row>
    <row r="90" spans="1:23">
      <c r="A90" s="1783" t="s">
        <v>1796</v>
      </c>
      <c r="B90" s="1784"/>
      <c r="C90" s="1784"/>
      <c r="D90" s="1784"/>
      <c r="E90" s="1603">
        <f>(E33-E37)/E44</f>
        <v>0.48589260780177057</v>
      </c>
      <c r="F90" s="1603">
        <f t="shared" ref="F90:O90" si="45">(F33-F37)/F44</f>
        <v>1.0978263990066821</v>
      </c>
      <c r="G90" s="1603">
        <f t="shared" si="45"/>
        <v>0.37567278822348799</v>
      </c>
      <c r="H90" s="1603">
        <f t="shared" si="45"/>
        <v>0.89855233382614741</v>
      </c>
      <c r="I90" s="1603">
        <f t="shared" si="45"/>
        <v>0.64739508547587443</v>
      </c>
      <c r="J90" s="1603">
        <f t="shared" si="45"/>
        <v>0.69011491084994603</v>
      </c>
      <c r="K90" s="1604">
        <f t="shared" si="45"/>
        <v>0.45409408300455212</v>
      </c>
      <c r="L90" s="1604">
        <f t="shared" si="45"/>
        <v>0.55504826077867209</v>
      </c>
      <c r="M90" s="1604">
        <f t="shared" si="45"/>
        <v>0.73946586811106108</v>
      </c>
      <c r="N90" s="1604">
        <f t="shared" si="45"/>
        <v>1.1615711487205931</v>
      </c>
      <c r="O90" s="1605">
        <f t="shared" si="45"/>
        <v>1.2077713852662051</v>
      </c>
      <c r="P90" s="1057"/>
      <c r="Q90" s="1383"/>
      <c r="R90" s="1383"/>
      <c r="S90" s="1383"/>
      <c r="T90" s="1383"/>
      <c r="U90" s="1383"/>
      <c r="V90" s="1383"/>
      <c r="W90" s="1383"/>
    </row>
    <row r="91" spans="1:23">
      <c r="A91" s="1781" t="s">
        <v>1794</v>
      </c>
      <c r="B91" s="1782"/>
      <c r="C91" s="1782"/>
      <c r="D91" s="1782"/>
      <c r="E91" s="1597"/>
      <c r="F91" s="1597"/>
      <c r="G91" s="1597"/>
      <c r="H91" s="1597"/>
      <c r="I91" s="1597"/>
      <c r="J91" s="1597"/>
      <c r="K91" s="1595"/>
      <c r="L91" s="1595"/>
      <c r="M91" s="1595"/>
      <c r="N91" s="1595"/>
      <c r="O91" s="1596"/>
      <c r="P91" s="1057"/>
    </row>
    <row r="92" spans="1:23">
      <c r="A92" s="1783" t="s">
        <v>683</v>
      </c>
      <c r="B92" s="1784"/>
      <c r="C92" s="1784"/>
      <c r="D92" s="1784"/>
      <c r="E92" s="1597"/>
      <c r="F92" s="1597">
        <f>365/(F9/((F36+E36)/2))</f>
        <v>25.35767690467533</v>
      </c>
      <c r="G92" s="1597">
        <f>365/(G9/((G36+F36)/2))</f>
        <v>26.247192021079332</v>
      </c>
      <c r="H92" s="1597">
        <f t="shared" ref="H92:O92" si="46">365/(H9/((H36+G36)/2))</f>
        <v>30.512473127068411</v>
      </c>
      <c r="I92" s="1597">
        <f t="shared" si="46"/>
        <v>34.328602384084405</v>
      </c>
      <c r="J92" s="1597">
        <f t="shared" si="46"/>
        <v>30.403804445919199</v>
      </c>
      <c r="K92" s="1595">
        <f t="shared" si="46"/>
        <v>27</v>
      </c>
      <c r="L92" s="1595">
        <f t="shared" si="46"/>
        <v>27</v>
      </c>
      <c r="M92" s="1595">
        <f t="shared" si="46"/>
        <v>25</v>
      </c>
      <c r="N92" s="1595">
        <f t="shared" si="46"/>
        <v>25</v>
      </c>
      <c r="O92" s="1596">
        <f t="shared" si="46"/>
        <v>25</v>
      </c>
      <c r="P92" s="1057"/>
      <c r="Q92" s="1383"/>
      <c r="R92" s="1383"/>
      <c r="S92" s="1383"/>
      <c r="T92" s="1383"/>
      <c r="U92" s="1383"/>
      <c r="V92" s="1383"/>
      <c r="W92" s="1383"/>
    </row>
    <row r="93" spans="1:23">
      <c r="A93" s="1783" t="s">
        <v>1854</v>
      </c>
      <c r="B93" s="1784"/>
      <c r="C93" s="1784"/>
      <c r="D93" s="1784"/>
      <c r="E93" s="1597"/>
      <c r="F93" s="1597">
        <f>CapitalTrabajo!H29</f>
        <v>58.640932957938588</v>
      </c>
      <c r="G93" s="1597">
        <f>CapitalTrabajo!I29</f>
        <v>58.902632976705192</v>
      </c>
      <c r="H93" s="1597">
        <f>CapitalTrabajo!J29</f>
        <v>60.213380930131713</v>
      </c>
      <c r="I93" s="1597">
        <f>CapitalTrabajo!K29</f>
        <v>72.892853870085318</v>
      </c>
      <c r="J93" s="1597">
        <f>CapitalTrabajo!L29</f>
        <v>67.529305777679966</v>
      </c>
      <c r="K93" s="1595">
        <f>CapitalTrabajo!M29</f>
        <v>64.753173479018116</v>
      </c>
      <c r="L93" s="1595">
        <f>CapitalTrabajo!N29</f>
        <v>63</v>
      </c>
      <c r="M93" s="1595">
        <f>CapitalTrabajo!O29</f>
        <v>63</v>
      </c>
      <c r="N93" s="1595">
        <f>CapitalTrabajo!P29</f>
        <v>62</v>
      </c>
      <c r="O93" s="1596">
        <f>CapitalTrabajo!Q29</f>
        <v>62</v>
      </c>
      <c r="P93" s="1057"/>
      <c r="Q93" s="1383"/>
      <c r="R93" s="1383"/>
      <c r="S93" s="1383"/>
      <c r="T93" s="1383"/>
      <c r="U93" s="1383"/>
      <c r="V93" s="1383"/>
      <c r="W93" s="1383"/>
    </row>
    <row r="94" spans="1:23">
      <c r="A94" s="1783" t="s">
        <v>684</v>
      </c>
      <c r="B94" s="1784"/>
      <c r="C94" s="1784"/>
      <c r="D94" s="1784"/>
      <c r="E94" s="1597"/>
      <c r="F94" s="1597">
        <f>CapitalTrabajo!I33</f>
        <v>67.45080154577019</v>
      </c>
      <c r="G94" s="1597">
        <f>CapitalTrabajo!J33</f>
        <v>74.564997626637577</v>
      </c>
      <c r="H94" s="1597">
        <f>CapitalTrabajo!K33</f>
        <v>130.53110559954351</v>
      </c>
      <c r="I94" s="1597">
        <f>CapitalTrabajo!L33</f>
        <v>153.59636749001032</v>
      </c>
      <c r="J94" s="1597">
        <f>CapitalTrabajo!M33</f>
        <v>140.31500527569341</v>
      </c>
      <c r="K94" s="1595">
        <f>CapitalTrabajo!N33</f>
        <v>120</v>
      </c>
      <c r="L94" s="1595">
        <f>CapitalTrabajo!O33</f>
        <v>115</v>
      </c>
      <c r="M94" s="1595">
        <f>CapitalTrabajo!P33</f>
        <v>105</v>
      </c>
      <c r="N94" s="1595">
        <f>CapitalTrabajo!Q33</f>
        <v>108</v>
      </c>
      <c r="O94" s="1596">
        <f>CapitalTrabajo!R33</f>
        <v>99</v>
      </c>
      <c r="P94" s="1057"/>
      <c r="Q94" s="1383"/>
      <c r="R94" s="1383"/>
      <c r="S94" s="1383"/>
      <c r="T94" s="1383"/>
      <c r="U94" s="1383"/>
      <c r="V94" s="1383"/>
      <c r="W94" s="1383"/>
    </row>
    <row r="95" spans="1:23">
      <c r="A95" s="1601" t="s">
        <v>1411</v>
      </c>
      <c r="B95" s="1602"/>
      <c r="C95" s="1602"/>
      <c r="D95" s="1602"/>
      <c r="E95" s="1597"/>
      <c r="F95" s="1606">
        <f>F12/F9</f>
        <v>0.28122899946374375</v>
      </c>
      <c r="G95" s="1606">
        <f>G12/G9</f>
        <v>0.3202325829707961</v>
      </c>
      <c r="H95" s="1606">
        <f t="shared" ref="H95:O95" si="47">H12/H9</f>
        <v>0.3309740209412802</v>
      </c>
      <c r="I95" s="1606">
        <f t="shared" si="47"/>
        <v>0.32970675553868561</v>
      </c>
      <c r="J95" s="1606">
        <f t="shared" si="47"/>
        <v>0.36580605241285791</v>
      </c>
      <c r="K95" s="1607">
        <f t="shared" si="47"/>
        <v>0.36000000000000004</v>
      </c>
      <c r="L95" s="1607">
        <f t="shared" si="47"/>
        <v>0.35999999999999993</v>
      </c>
      <c r="M95" s="1607">
        <f t="shared" si="47"/>
        <v>0.36</v>
      </c>
      <c r="N95" s="1607">
        <f t="shared" si="47"/>
        <v>0.36</v>
      </c>
      <c r="O95" s="1608">
        <f t="shared" si="47"/>
        <v>0.36000000000000015</v>
      </c>
      <c r="P95" s="1057"/>
      <c r="Q95" s="1383"/>
      <c r="R95" s="1383"/>
      <c r="S95" s="1383"/>
      <c r="T95" s="1383"/>
      <c r="U95" s="1383"/>
      <c r="V95" s="1383"/>
      <c r="W95" s="1383"/>
    </row>
    <row r="96" spans="1:23">
      <c r="A96" s="1783" t="s">
        <v>678</v>
      </c>
      <c r="B96" s="1784"/>
      <c r="C96" s="1784"/>
      <c r="D96" s="1784"/>
      <c r="E96" s="1597"/>
      <c r="F96" s="1606">
        <f>(F12+F13)/F9</f>
        <v>7.3255527171441168E-2</v>
      </c>
      <c r="G96" s="1606">
        <f>(G12+G13)/G9</f>
        <v>9.6160362506478511E-2</v>
      </c>
      <c r="H96" s="1606">
        <f t="shared" ref="H96:O96" si="48">(H12+H13)/H9</f>
        <v>8.7586459812137279E-2</v>
      </c>
      <c r="I96" s="1606">
        <f t="shared" si="48"/>
        <v>9.255423153834999E-2</v>
      </c>
      <c r="J96" s="1606">
        <f t="shared" si="48"/>
        <v>0.11799080640978239</v>
      </c>
      <c r="K96" s="1607">
        <f t="shared" si="48"/>
        <v>0.13000000000000009</v>
      </c>
      <c r="L96" s="1607">
        <f t="shared" si="48"/>
        <v>0.12999999999999998</v>
      </c>
      <c r="M96" s="1607">
        <f t="shared" si="48"/>
        <v>0.12999999999999998</v>
      </c>
      <c r="N96" s="1607">
        <f t="shared" si="48"/>
        <v>0.12999999999999998</v>
      </c>
      <c r="O96" s="1608">
        <f t="shared" si="48"/>
        <v>0.13000000000000014</v>
      </c>
      <c r="P96" s="1057"/>
      <c r="Q96" s="1383"/>
      <c r="R96" s="1383"/>
      <c r="S96" s="1383"/>
      <c r="T96" s="1383"/>
      <c r="U96" s="1383"/>
      <c r="V96" s="1383"/>
      <c r="W96" s="1383"/>
    </row>
    <row r="97" spans="1:23">
      <c r="A97" s="1781" t="s">
        <v>1799</v>
      </c>
      <c r="B97" s="1782"/>
      <c r="C97" s="1782"/>
      <c r="D97" s="1782"/>
      <c r="E97" s="1597"/>
      <c r="F97" s="1597"/>
      <c r="G97" s="1597"/>
      <c r="H97" s="1597"/>
      <c r="I97" s="1597"/>
      <c r="J97" s="1597"/>
      <c r="K97" s="1595"/>
      <c r="L97" s="1595"/>
      <c r="M97" s="1595"/>
      <c r="N97" s="1595"/>
      <c r="O97" s="1596"/>
      <c r="P97" s="1057"/>
    </row>
    <row r="98" spans="1:23">
      <c r="A98" s="1783" t="s">
        <v>3</v>
      </c>
      <c r="B98" s="1784"/>
      <c r="C98" s="1784"/>
      <c r="D98" s="1784"/>
      <c r="E98" s="1603">
        <f t="shared" ref="E98:I98" si="49">(E50/E53)</f>
        <v>0.57011912746319193</v>
      </c>
      <c r="F98" s="1603">
        <f t="shared" si="49"/>
        <v>1.475437468430657</v>
      </c>
      <c r="G98" s="1603">
        <f t="shared" si="49"/>
        <v>1.2610894936599115</v>
      </c>
      <c r="H98" s="1603">
        <f t="shared" si="49"/>
        <v>2.5738859447076519</v>
      </c>
      <c r="I98" s="1603">
        <f t="shared" si="49"/>
        <v>2.7351115542422373</v>
      </c>
      <c r="J98" s="1603">
        <f>(J50/J53)</f>
        <v>3.3868701944743855</v>
      </c>
      <c r="K98" s="1604">
        <f t="shared" ref="K98:O98" si="50">(K50/K53)</f>
        <v>1.7914817289852394</v>
      </c>
      <c r="L98" s="1604">
        <f t="shared" si="50"/>
        <v>1.4091914612271068</v>
      </c>
      <c r="M98" s="1604">
        <f t="shared" si="50"/>
        <v>1.1352239349755822</v>
      </c>
      <c r="N98" s="1604">
        <f t="shared" si="50"/>
        <v>0.93760857858526381</v>
      </c>
      <c r="O98" s="1605">
        <f t="shared" si="50"/>
        <v>0.96024822809729915</v>
      </c>
      <c r="P98" s="1057"/>
      <c r="Q98" s="1383"/>
      <c r="R98" s="1383"/>
      <c r="S98" s="1383"/>
      <c r="T98" s="1383"/>
      <c r="U98" s="1383"/>
      <c r="V98" s="1383"/>
      <c r="W98" s="1383"/>
    </row>
    <row r="99" spans="1:23">
      <c r="A99" s="1783" t="s">
        <v>694</v>
      </c>
      <c r="B99" s="1784"/>
      <c r="C99" s="1784"/>
      <c r="D99" s="1784"/>
      <c r="E99" s="1603">
        <f>E27</f>
        <v>77.771448914204456</v>
      </c>
      <c r="F99" s="1603">
        <f t="shared" ref="F99:O99" si="51">F27</f>
        <v>80.215053763440821</v>
      </c>
      <c r="G99" s="1603">
        <f t="shared" si="51"/>
        <v>107.2359858878872</v>
      </c>
      <c r="H99" s="1603">
        <f t="shared" si="51"/>
        <v>101.00643776824047</v>
      </c>
      <c r="I99" s="1603">
        <f t="shared" si="51"/>
        <v>105.71371237458192</v>
      </c>
      <c r="J99" s="1603">
        <f t="shared" si="51"/>
        <v>113.99413489736055</v>
      </c>
      <c r="K99" s="1604">
        <f t="shared" si="51"/>
        <v>139.60474484390764</v>
      </c>
      <c r="L99" s="1604">
        <f t="shared" si="51"/>
        <v>151.38039150336107</v>
      </c>
      <c r="M99" s="1604">
        <f t="shared" si="51"/>
        <v>163.27305742032939</v>
      </c>
      <c r="N99" s="1604">
        <f t="shared" si="51"/>
        <v>174.64871142608135</v>
      </c>
      <c r="O99" s="1605">
        <f t="shared" si="51"/>
        <v>181.20762804094755</v>
      </c>
      <c r="P99" s="1057"/>
      <c r="Q99" s="1383"/>
      <c r="R99" s="1383"/>
      <c r="S99" s="1383"/>
      <c r="T99" s="1383"/>
      <c r="U99" s="1383"/>
      <c r="V99" s="1383"/>
      <c r="W99" s="1383"/>
    </row>
    <row r="100" spans="1:23">
      <c r="A100" s="1783" t="s">
        <v>695</v>
      </c>
      <c r="B100" s="1784"/>
      <c r="C100" s="1784"/>
      <c r="D100" s="1784"/>
      <c r="E100" s="1603">
        <f>E27/E50</f>
        <v>0.55627135734692812</v>
      </c>
      <c r="F100" s="1603">
        <f t="shared" ref="F100:O100" si="52">F27/F50</f>
        <v>0.20630373585798087</v>
      </c>
      <c r="G100" s="1603">
        <f t="shared" si="52"/>
        <v>0.2807040406507238</v>
      </c>
      <c r="H100" s="1603">
        <f t="shared" si="52"/>
        <v>0.1712246502770442</v>
      </c>
      <c r="I100" s="1603">
        <f t="shared" si="52"/>
        <v>0.18174103035878567</v>
      </c>
      <c r="J100" s="1603">
        <f t="shared" si="52"/>
        <v>0.19667227594832418</v>
      </c>
      <c r="K100" s="1604">
        <f t="shared" si="52"/>
        <v>0.3246621973114131</v>
      </c>
      <c r="L100" s="1604">
        <f t="shared" si="52"/>
        <v>0.35204742210083967</v>
      </c>
      <c r="M100" s="1604">
        <f t="shared" si="52"/>
        <v>0.37970478469844043</v>
      </c>
      <c r="N100" s="1604">
        <f t="shared" si="52"/>
        <v>0.40615979401414265</v>
      </c>
      <c r="O100" s="1605">
        <f t="shared" si="52"/>
        <v>0.4214130884673199</v>
      </c>
      <c r="P100" s="1057"/>
      <c r="Q100" s="1383"/>
      <c r="R100" s="1383"/>
      <c r="S100" s="1383"/>
      <c r="T100" s="1383"/>
      <c r="U100" s="1383"/>
      <c r="V100" s="1383"/>
      <c r="W100" s="1383"/>
    </row>
    <row r="101" spans="1:23">
      <c r="A101" s="1783" t="s">
        <v>1856</v>
      </c>
      <c r="B101" s="1784"/>
      <c r="C101" s="1784"/>
      <c r="D101" s="1784"/>
      <c r="E101" s="1603">
        <f>E50/E27</f>
        <v>1.7976837865055362</v>
      </c>
      <c r="F101" s="1603">
        <f t="shared" ref="F101:O101" si="53">F50/F27</f>
        <v>4.8472219654247963</v>
      </c>
      <c r="G101" s="1603">
        <f t="shared" si="53"/>
        <v>3.5624709843214775</v>
      </c>
      <c r="H101" s="1603">
        <f t="shared" si="53"/>
        <v>5.8402805809910205</v>
      </c>
      <c r="I101" s="1603">
        <f t="shared" si="53"/>
        <v>5.5023348223889847</v>
      </c>
      <c r="J101" s="1603">
        <f t="shared" si="53"/>
        <v>5.0846007408931948</v>
      </c>
      <c r="K101" s="1604">
        <f t="shared" si="53"/>
        <v>3.0801245364603038</v>
      </c>
      <c r="L101" s="1604">
        <f t="shared" si="53"/>
        <v>2.8405264098583918</v>
      </c>
      <c r="M101" s="1604">
        <f t="shared" si="53"/>
        <v>2.6336249641789338</v>
      </c>
      <c r="N101" s="1604">
        <f t="shared" si="53"/>
        <v>2.4620851564770576</v>
      </c>
      <c r="O101" s="1605">
        <f t="shared" si="53"/>
        <v>2.3729685369692755</v>
      </c>
      <c r="P101" s="1057"/>
      <c r="Q101" s="1383"/>
      <c r="R101" s="1383"/>
      <c r="S101" s="1383"/>
      <c r="T101" s="1383"/>
      <c r="U101" s="1383"/>
      <c r="V101" s="1383"/>
      <c r="W101" s="1383"/>
    </row>
    <row r="102" spans="1:23">
      <c r="A102" s="1781" t="s">
        <v>1792</v>
      </c>
      <c r="B102" s="1782"/>
      <c r="C102" s="1782"/>
      <c r="D102" s="1782"/>
      <c r="E102" s="1597"/>
      <c r="F102" s="1597"/>
      <c r="G102" s="1597"/>
      <c r="H102" s="1597"/>
      <c r="I102" s="1597"/>
      <c r="J102" s="1597"/>
      <c r="K102" s="1595"/>
      <c r="L102" s="1595"/>
      <c r="M102" s="1595"/>
      <c r="N102" s="1595"/>
      <c r="O102" s="1596"/>
      <c r="P102" s="1057"/>
    </row>
    <row r="103" spans="1:23">
      <c r="A103" s="1601" t="s">
        <v>692</v>
      </c>
      <c r="B103" s="1602"/>
      <c r="C103" s="1602"/>
      <c r="D103" s="1602"/>
      <c r="E103" s="1597">
        <f>E23/(E33+E40)</f>
        <v>2.8304042318619795E-2</v>
      </c>
      <c r="F103" s="1606">
        <f t="shared" ref="F103:J103" si="54">F23/(F33+F40)</f>
        <v>1.9419612228000208E-2</v>
      </c>
      <c r="G103" s="1606">
        <f t="shared" si="54"/>
        <v>3.2707987595558367E-2</v>
      </c>
      <c r="H103" s="1606">
        <f t="shared" si="54"/>
        <v>-2.2931182386419884E-2</v>
      </c>
      <c r="I103" s="1606">
        <f t="shared" si="54"/>
        <v>8.4906703705330423E-4</v>
      </c>
      <c r="J103" s="1606">
        <f t="shared" si="54"/>
        <v>-2.5383041250065505E-2</v>
      </c>
      <c r="K103" s="1607">
        <f t="shared" ref="K103:O103" si="55">K23/(K33+K40)</f>
        <v>6.8446422260567796E-2</v>
      </c>
      <c r="L103" s="1607">
        <f t="shared" si="55"/>
        <v>7.2079868208389117E-2</v>
      </c>
      <c r="M103" s="1607">
        <f t="shared" si="55"/>
        <v>6.9362399403234853E-2</v>
      </c>
      <c r="N103" s="1607">
        <f t="shared" si="55"/>
        <v>7.2027966178869071E-2</v>
      </c>
      <c r="O103" s="1608">
        <f t="shared" si="55"/>
        <v>7.4819766823323988E-2</v>
      </c>
      <c r="P103" s="1057"/>
      <c r="Q103" s="1383"/>
      <c r="R103" s="1383"/>
      <c r="S103" s="1383"/>
      <c r="T103" s="1383"/>
      <c r="U103" s="1383"/>
      <c r="V103" s="1383"/>
      <c r="W103" s="1383"/>
    </row>
    <row r="104" spans="1:23">
      <c r="A104" s="1601" t="s">
        <v>693</v>
      </c>
      <c r="B104" s="1602"/>
      <c r="C104" s="1602"/>
      <c r="D104" s="1602"/>
      <c r="E104" s="1597">
        <f>E23/E53</f>
        <v>6.9955084039591581E-2</v>
      </c>
      <c r="F104" s="1606">
        <f t="shared" ref="F104:J104" si="56">F23/F53</f>
        <v>6.4316336422614459E-2</v>
      </c>
      <c r="G104" s="1606">
        <f t="shared" si="56"/>
        <v>9.7476516632785115E-2</v>
      </c>
      <c r="H104" s="1606">
        <f t="shared" si="56"/>
        <v>-0.11300506232717204</v>
      </c>
      <c r="I104" s="1606">
        <f t="shared" si="56"/>
        <v>4.4914205375549488E-3</v>
      </c>
      <c r="J104" s="1606">
        <f t="shared" si="56"/>
        <v>-0.15129383984522995</v>
      </c>
      <c r="K104" s="1607">
        <f t="shared" ref="K104:O104" si="57">K23/K53</f>
        <v>0.26314530754815219</v>
      </c>
      <c r="L104" s="1607">
        <f t="shared" si="57"/>
        <v>0.22642234910119347</v>
      </c>
      <c r="M104" s="1607">
        <f t="shared" si="57"/>
        <v>0.19592806120157186</v>
      </c>
      <c r="N104" s="1607">
        <f t="shared" si="57"/>
        <v>0.17466490516962002</v>
      </c>
      <c r="O104" s="1608">
        <f t="shared" si="57"/>
        <v>0.18587313248337067</v>
      </c>
      <c r="P104" s="1057"/>
      <c r="Q104" s="1383"/>
      <c r="R104" s="1383"/>
      <c r="S104" s="1383"/>
      <c r="T104" s="1383"/>
      <c r="U104" s="1383"/>
      <c r="V104" s="1383"/>
      <c r="W104" s="1383"/>
    </row>
    <row r="105" spans="1:23">
      <c r="A105" s="1457"/>
      <c r="B105" s="1457"/>
      <c r="C105" s="1457"/>
      <c r="D105" s="1460"/>
      <c r="E105" s="1457"/>
      <c r="F105" s="1457"/>
      <c r="G105" s="1457"/>
      <c r="H105" s="1457"/>
      <c r="I105" s="1457"/>
      <c r="J105" s="1457"/>
      <c r="K105" s="1457"/>
      <c r="L105" s="1457"/>
      <c r="M105" s="1457"/>
      <c r="N105" s="1457"/>
      <c r="O105" s="1457"/>
    </row>
    <row r="106" spans="1:23">
      <c r="A106" s="1457"/>
      <c r="B106" s="1457"/>
      <c r="C106" s="1457"/>
      <c r="D106" s="1457"/>
      <c r="E106" s="1457"/>
      <c r="F106" s="1457"/>
      <c r="G106" s="1457"/>
      <c r="H106" s="1457"/>
      <c r="I106" s="1457"/>
      <c r="J106" s="1457"/>
      <c r="K106" s="1457"/>
      <c r="L106" s="1457"/>
      <c r="M106" s="1457"/>
      <c r="N106" s="1457"/>
      <c r="O106" s="1457"/>
    </row>
    <row r="107" spans="1:23">
      <c r="A107" s="1457"/>
      <c r="B107" s="1457"/>
      <c r="C107" s="1457"/>
      <c r="D107" s="1457"/>
      <c r="E107" s="1457"/>
      <c r="F107" s="1457"/>
      <c r="G107" s="1457"/>
      <c r="H107" s="1457"/>
      <c r="I107" s="1457"/>
      <c r="J107" s="1457"/>
      <c r="K107" s="1457"/>
      <c r="L107" s="1457"/>
      <c r="M107" s="1457"/>
      <c r="N107" s="1457"/>
      <c r="O107" s="1457"/>
    </row>
  </sheetData>
  <mergeCells count="87">
    <mergeCell ref="A83:D83"/>
    <mergeCell ref="A84:D84"/>
    <mergeCell ref="A80:D80"/>
    <mergeCell ref="A81:D81"/>
    <mergeCell ref="A82:D82"/>
    <mergeCell ref="A75:D75"/>
    <mergeCell ref="A79:D79"/>
    <mergeCell ref="A76:D76"/>
    <mergeCell ref="A77:D77"/>
    <mergeCell ref="A78:D78"/>
    <mergeCell ref="A58:D58"/>
    <mergeCell ref="A59:D59"/>
    <mergeCell ref="A72:D72"/>
    <mergeCell ref="A73:D73"/>
    <mergeCell ref="A74:D74"/>
    <mergeCell ref="A71:D71"/>
    <mergeCell ref="A64:D64"/>
    <mergeCell ref="A65:D65"/>
    <mergeCell ref="A66:D66"/>
    <mergeCell ref="A67:D67"/>
    <mergeCell ref="A69:D69"/>
    <mergeCell ref="A70:D70"/>
    <mergeCell ref="A68:D68"/>
    <mergeCell ref="A50:D50"/>
    <mergeCell ref="A52:D52"/>
    <mergeCell ref="A57:D57"/>
    <mergeCell ref="A53:D53"/>
    <mergeCell ref="A55:D55"/>
    <mergeCell ref="A54:D54"/>
    <mergeCell ref="A56:D56"/>
    <mergeCell ref="A20:D20"/>
    <mergeCell ref="A60:D60"/>
    <mergeCell ref="A37:D37"/>
    <mergeCell ref="A38:D38"/>
    <mergeCell ref="A39:D39"/>
    <mergeCell ref="A40:D40"/>
    <mergeCell ref="A51:D51"/>
    <mergeCell ref="A46:D46"/>
    <mergeCell ref="A41:D41"/>
    <mergeCell ref="A42:D42"/>
    <mergeCell ref="A43:D43"/>
    <mergeCell ref="A47:D47"/>
    <mergeCell ref="A44:D44"/>
    <mergeCell ref="A45:D45"/>
    <mergeCell ref="A48:D48"/>
    <mergeCell ref="A49:D49"/>
    <mergeCell ref="A36:D36"/>
    <mergeCell ref="A24:D24"/>
    <mergeCell ref="A25:D25"/>
    <mergeCell ref="A26:D26"/>
    <mergeCell ref="A27:D27"/>
    <mergeCell ref="A28:D28"/>
    <mergeCell ref="A31:O31"/>
    <mergeCell ref="A33:D33"/>
    <mergeCell ref="A34:D34"/>
    <mergeCell ref="A35:D35"/>
    <mergeCell ref="A29:D29"/>
    <mergeCell ref="A21:D21"/>
    <mergeCell ref="A22:D22"/>
    <mergeCell ref="A23:D23"/>
    <mergeCell ref="K3:O3"/>
    <mergeCell ref="A5:D5"/>
    <mergeCell ref="A9:D9"/>
    <mergeCell ref="A15:D15"/>
    <mergeCell ref="A10:D10"/>
    <mergeCell ref="A11:D11"/>
    <mergeCell ref="A12:D12"/>
    <mergeCell ref="A13:D13"/>
    <mergeCell ref="A14:D14"/>
    <mergeCell ref="A16:D16"/>
    <mergeCell ref="A17:D17"/>
    <mergeCell ref="A18:D18"/>
    <mergeCell ref="A19:D19"/>
    <mergeCell ref="A88:D88"/>
    <mergeCell ref="A91:D91"/>
    <mergeCell ref="A97:D97"/>
    <mergeCell ref="A102:D102"/>
    <mergeCell ref="A89:D89"/>
    <mergeCell ref="A90:D90"/>
    <mergeCell ref="A92:D92"/>
    <mergeCell ref="A93:D93"/>
    <mergeCell ref="A94:D94"/>
    <mergeCell ref="A96:D96"/>
    <mergeCell ref="A98:D98"/>
    <mergeCell ref="A99:D99"/>
    <mergeCell ref="A100:D100"/>
    <mergeCell ref="A101:D101"/>
  </mergeCells>
  <pageMargins left="0.7" right="0.7" top="0.75" bottom="0.75" header="0.3" footer="0.3"/>
  <ignoredErrors>
    <ignoredError sqref="K54:O54" formulaRange="1"/>
  </ignoredError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7:U122"/>
  <sheetViews>
    <sheetView showGridLines="0" topLeftCell="A67" zoomScaleNormal="100" workbookViewId="0">
      <selection activeCell="L67" sqref="L67"/>
    </sheetView>
  </sheetViews>
  <sheetFormatPr baseColWidth="10" defaultRowHeight="12.75" outlineLevelRow="1"/>
  <cols>
    <col min="1" max="1" width="3.85546875" style="711" customWidth="1"/>
    <col min="2" max="2" width="18.85546875" style="713" customWidth="1"/>
    <col min="3" max="3" width="14.42578125" style="713" bestFit="1" customWidth="1"/>
    <col min="4" max="4" width="15.5703125" style="713" customWidth="1"/>
    <col min="5" max="5" width="14.140625" style="713" customWidth="1"/>
    <col min="6" max="8" width="14.42578125" style="713" bestFit="1" customWidth="1"/>
    <col min="9" max="14" width="14.140625" style="713" customWidth="1"/>
    <col min="15" max="15" width="3.5703125" style="713" customWidth="1"/>
    <col min="16" max="16384" width="11.42578125" style="713"/>
  </cols>
  <sheetData>
    <row r="17" spans="1:14">
      <c r="B17" s="712" t="s">
        <v>796</v>
      </c>
    </row>
    <row r="20" spans="1:14" ht="15">
      <c r="B20" s="1138" t="s">
        <v>1761</v>
      </c>
    </row>
    <row r="21" spans="1:14" ht="15">
      <c r="B21" s="1138"/>
    </row>
    <row r="22" spans="1:14">
      <c r="A22" s="714">
        <v>1</v>
      </c>
      <c r="B22" s="715" t="s">
        <v>797</v>
      </c>
    </row>
    <row r="23" spans="1:14">
      <c r="I23" s="716"/>
      <c r="J23" s="716"/>
      <c r="K23" s="716"/>
      <c r="L23" s="716"/>
      <c r="M23" s="716"/>
      <c r="N23" s="716"/>
    </row>
    <row r="24" spans="1:14">
      <c r="B24" s="717"/>
      <c r="C24" s="718">
        <v>2009</v>
      </c>
      <c r="D24" s="718">
        <v>2010</v>
      </c>
      <c r="E24" s="718">
        <v>2011</v>
      </c>
      <c r="F24" s="718">
        <v>2012</v>
      </c>
      <c r="G24" s="718">
        <v>2013</v>
      </c>
      <c r="H24" s="718">
        <v>2014</v>
      </c>
      <c r="I24" s="718">
        <v>2015</v>
      </c>
      <c r="J24" s="718">
        <v>2016</v>
      </c>
      <c r="K24" s="718">
        <v>2017</v>
      </c>
      <c r="L24" s="718">
        <v>2018</v>
      </c>
      <c r="M24" s="718">
        <v>2019</v>
      </c>
      <c r="N24" s="718">
        <v>2020</v>
      </c>
    </row>
    <row r="25" spans="1:14">
      <c r="B25" s="719" t="s">
        <v>788</v>
      </c>
      <c r="C25" s="720">
        <v>55.3</v>
      </c>
      <c r="D25" s="720">
        <v>56.9</v>
      </c>
      <c r="E25" s="720">
        <v>58.3</v>
      </c>
      <c r="F25" s="720">
        <v>57.4</v>
      </c>
      <c r="G25" s="720">
        <v>54.7</v>
      </c>
      <c r="H25" s="720">
        <v>55.4</v>
      </c>
      <c r="I25" s="720">
        <f>+H25*(1+I35)</f>
        <v>56.508000000000003</v>
      </c>
      <c r="J25" s="721">
        <f>J51/J44</f>
        <v>58.19448109313511</v>
      </c>
      <c r="K25" s="721">
        <f t="shared" ref="K25:N25" si="0">K51/K44</f>
        <v>59.608262446737825</v>
      </c>
      <c r="L25" s="721">
        <f t="shared" si="0"/>
        <v>60.90480246624012</v>
      </c>
      <c r="M25" s="721">
        <f t="shared" si="0"/>
        <v>61.976405789856607</v>
      </c>
      <c r="N25" s="721">
        <f t="shared" si="0"/>
        <v>63.07467388481431</v>
      </c>
    </row>
    <row r="26" spans="1:14">
      <c r="B26" s="719" t="s">
        <v>789</v>
      </c>
      <c r="C26" s="720">
        <v>9.8000000000000007</v>
      </c>
      <c r="D26" s="720">
        <v>9.8000000000000007</v>
      </c>
      <c r="E26" s="720">
        <v>13.27</v>
      </c>
      <c r="F26" s="720">
        <v>15.1</v>
      </c>
      <c r="G26" s="720">
        <v>17</v>
      </c>
      <c r="H26" s="720">
        <v>18.600000000000001</v>
      </c>
      <c r="I26" s="720">
        <f>+H26*(1+I36)</f>
        <v>20.818673165788372</v>
      </c>
      <c r="J26" s="721">
        <f>J52/J44</f>
        <v>22.793314294652316</v>
      </c>
      <c r="K26" s="721">
        <f t="shared" ref="K26:N26" si="1">K52/K44</f>
        <v>24.768193414626442</v>
      </c>
      <c r="L26" s="721">
        <f t="shared" si="1"/>
        <v>26.696965297035508</v>
      </c>
      <c r="M26" s="721">
        <f t="shared" si="1"/>
        <v>28.988586094084788</v>
      </c>
      <c r="N26" s="721">
        <f t="shared" si="1"/>
        <v>31.281001424117743</v>
      </c>
    </row>
    <row r="27" spans="1:14">
      <c r="B27" s="719" t="s">
        <v>790</v>
      </c>
      <c r="C27" s="720">
        <v>3.1</v>
      </c>
      <c r="D27" s="720">
        <v>3.6</v>
      </c>
      <c r="E27" s="720">
        <v>4.2</v>
      </c>
      <c r="F27" s="720">
        <v>4.8</v>
      </c>
      <c r="G27" s="720">
        <v>5.4</v>
      </c>
      <c r="H27" s="720">
        <v>5.9</v>
      </c>
      <c r="I27" s="720">
        <f>+H27*(1+I37)</f>
        <v>6.6088844797178137</v>
      </c>
      <c r="J27" s="721">
        <f>J53/J44</f>
        <v>7.6194266487751143</v>
      </c>
      <c r="K27" s="721">
        <f t="shared" ref="K27:N27" si="2">K53/K44</f>
        <v>8.7834373849612781</v>
      </c>
      <c r="L27" s="721">
        <f t="shared" si="2"/>
        <v>9.9171656083545088</v>
      </c>
      <c r="M27" s="721">
        <f t="shared" si="2"/>
        <v>11.214486346703371</v>
      </c>
      <c r="N27" s="721">
        <f t="shared" si="2"/>
        <v>13.131684371467788</v>
      </c>
    </row>
    <row r="28" spans="1:14">
      <c r="B28" s="719" t="s">
        <v>791</v>
      </c>
      <c r="C28" s="720">
        <v>9.3000000000000007</v>
      </c>
      <c r="D28" s="720">
        <v>9.35</v>
      </c>
      <c r="E28" s="720">
        <v>11.15</v>
      </c>
      <c r="F28" s="720">
        <v>12.2</v>
      </c>
      <c r="G28" s="720">
        <v>11.15</v>
      </c>
      <c r="H28" s="720">
        <v>11.2</v>
      </c>
      <c r="I28" s="720">
        <f>+H28*(1+I38)</f>
        <v>11.246999436398831</v>
      </c>
      <c r="J28" s="721">
        <f>J54/J44</f>
        <v>11.477141214908514</v>
      </c>
      <c r="K28" s="721">
        <f t="shared" ref="K28:M28" si="3">K54/K44</f>
        <v>11.576155111842676</v>
      </c>
      <c r="L28" s="721">
        <f t="shared" si="3"/>
        <v>11.658070998976928</v>
      </c>
      <c r="M28" s="721">
        <f t="shared" si="3"/>
        <v>11.762774133103182</v>
      </c>
      <c r="N28" s="721">
        <f>N54/N44</f>
        <v>11.958520745284741</v>
      </c>
    </row>
    <row r="29" spans="1:14">
      <c r="B29" s="712" t="s">
        <v>796</v>
      </c>
    </row>
    <row r="30" spans="1:14">
      <c r="B30" s="712"/>
    </row>
    <row r="31" spans="1:14">
      <c r="B31" s="712"/>
    </row>
    <row r="32" spans="1:14" hidden="1" outlineLevel="1">
      <c r="A32" s="714">
        <v>2</v>
      </c>
      <c r="B32" s="715" t="s">
        <v>798</v>
      </c>
    </row>
    <row r="33" spans="1:21" hidden="1" outlineLevel="1">
      <c r="P33" s="40"/>
    </row>
    <row r="34" spans="1:21" ht="14.25" hidden="1" customHeight="1" outlineLevel="1">
      <c r="B34" s="717"/>
      <c r="C34" s="718">
        <v>2009</v>
      </c>
      <c r="D34" s="718">
        <v>2010</v>
      </c>
      <c r="E34" s="718">
        <v>2011</v>
      </c>
      <c r="F34" s="718">
        <v>2012</v>
      </c>
      <c r="G34" s="718">
        <v>2013</v>
      </c>
      <c r="H34" s="718">
        <v>2014</v>
      </c>
      <c r="I34" s="718">
        <v>2015</v>
      </c>
      <c r="J34" s="722">
        <v>2016</v>
      </c>
      <c r="K34" s="722">
        <v>2017</v>
      </c>
      <c r="L34" s="722">
        <v>2018</v>
      </c>
      <c r="M34" s="722">
        <v>2019</v>
      </c>
      <c r="N34" s="722">
        <v>2020</v>
      </c>
    </row>
    <row r="35" spans="1:21" hidden="1" outlineLevel="1">
      <c r="B35" s="719" t="s">
        <v>788</v>
      </c>
      <c r="C35" s="720"/>
      <c r="D35" s="723">
        <f t="shared" ref="D35:H38" si="4">+(D25-C25)/C25</f>
        <v>2.8933092224231492E-2</v>
      </c>
      <c r="E35" s="723">
        <f t="shared" si="4"/>
        <v>2.4604569420035124E-2</v>
      </c>
      <c r="F35" s="723">
        <f t="shared" si="4"/>
        <v>-1.5437392795883338E-2</v>
      </c>
      <c r="G35" s="723">
        <f t="shared" si="4"/>
        <v>-4.703832752613233E-2</v>
      </c>
      <c r="H35" s="723">
        <f t="shared" si="4"/>
        <v>1.2797074954296082E-2</v>
      </c>
      <c r="I35" s="723">
        <v>0.02</v>
      </c>
      <c r="J35" s="724">
        <v>0.02</v>
      </c>
      <c r="K35" s="724">
        <v>0.02</v>
      </c>
      <c r="L35" s="724">
        <v>0.02</v>
      </c>
      <c r="M35" s="724">
        <v>0.02</v>
      </c>
      <c r="N35" s="724">
        <v>0.02</v>
      </c>
    </row>
    <row r="36" spans="1:21" hidden="1" outlineLevel="1">
      <c r="B36" s="719" t="s">
        <v>789</v>
      </c>
      <c r="C36" s="720"/>
      <c r="D36" s="723">
        <f t="shared" si="4"/>
        <v>0</v>
      </c>
      <c r="E36" s="723">
        <f t="shared" si="4"/>
        <v>0.35408163265306108</v>
      </c>
      <c r="F36" s="723">
        <f t="shared" si="4"/>
        <v>0.13790504898266767</v>
      </c>
      <c r="G36" s="723">
        <f t="shared" si="4"/>
        <v>0.12582781456953646</v>
      </c>
      <c r="H36" s="723">
        <f t="shared" si="4"/>
        <v>9.4117647058823611E-2</v>
      </c>
      <c r="I36" s="723">
        <f>+AVERAGE(F36:H36)</f>
        <v>0.11928350353700927</v>
      </c>
      <c r="J36" s="724">
        <f t="shared" ref="J36:N38" si="5">+AVERAGE(G36:I36)</f>
        <v>0.11307632172178977</v>
      </c>
      <c r="K36" s="724">
        <f t="shared" si="5"/>
        <v>0.10882582410587421</v>
      </c>
      <c r="L36" s="724">
        <f t="shared" si="5"/>
        <v>0.11372854978822443</v>
      </c>
      <c r="M36" s="724">
        <f t="shared" si="5"/>
        <v>0.11187689853862948</v>
      </c>
      <c r="N36" s="724">
        <f t="shared" si="5"/>
        <v>0.11147709081090938</v>
      </c>
    </row>
    <row r="37" spans="1:21" hidden="1" outlineLevel="1">
      <c r="B37" s="719" t="s">
        <v>790</v>
      </c>
      <c r="C37" s="720"/>
      <c r="D37" s="723">
        <f t="shared" si="4"/>
        <v>0.16129032258064516</v>
      </c>
      <c r="E37" s="723">
        <f t="shared" si="4"/>
        <v>0.16666666666666669</v>
      </c>
      <c r="F37" s="723">
        <f t="shared" si="4"/>
        <v>0.14285714285714277</v>
      </c>
      <c r="G37" s="723">
        <f t="shared" si="4"/>
        <v>0.12500000000000011</v>
      </c>
      <c r="H37" s="723">
        <f t="shared" si="4"/>
        <v>9.2592592592592587E-2</v>
      </c>
      <c r="I37" s="723">
        <f>+AVERAGE(F37:H37)</f>
        <v>0.12014991181657848</v>
      </c>
      <c r="J37" s="724">
        <f t="shared" si="5"/>
        <v>0.11258083480305707</v>
      </c>
      <c r="K37" s="724">
        <f t="shared" si="5"/>
        <v>0.10844111307074272</v>
      </c>
      <c r="L37" s="724">
        <f t="shared" si="5"/>
        <v>0.11372395323012609</v>
      </c>
      <c r="M37" s="724">
        <f t="shared" si="5"/>
        <v>0.11158196703464196</v>
      </c>
      <c r="N37" s="724">
        <f t="shared" si="5"/>
        <v>0.11124901111183692</v>
      </c>
    </row>
    <row r="38" spans="1:21" hidden="1" outlineLevel="1">
      <c r="B38" s="719" t="s">
        <v>791</v>
      </c>
      <c r="C38" s="720"/>
      <c r="D38" s="723">
        <f t="shared" si="4"/>
        <v>5.3763440860213904E-3</v>
      </c>
      <c r="E38" s="723">
        <f t="shared" si="4"/>
        <v>0.19251336898395729</v>
      </c>
      <c r="F38" s="723">
        <f t="shared" si="4"/>
        <v>9.4170403587443843E-2</v>
      </c>
      <c r="G38" s="723">
        <f t="shared" si="4"/>
        <v>-8.6065573770491718E-2</v>
      </c>
      <c r="H38" s="723">
        <f t="shared" si="4"/>
        <v>4.4843049327353305E-3</v>
      </c>
      <c r="I38" s="723">
        <f>+AVERAGE(F38:H38)</f>
        <v>4.1963782498958191E-3</v>
      </c>
      <c r="J38" s="724">
        <f>+AVERAGE(E38:I38)</f>
        <v>4.1859776396708112E-2</v>
      </c>
      <c r="K38" s="724">
        <f t="shared" si="5"/>
        <v>1.6846819859779753E-2</v>
      </c>
      <c r="L38" s="724">
        <f t="shared" si="5"/>
        <v>2.0967658168794562E-2</v>
      </c>
      <c r="M38" s="724">
        <f t="shared" si="5"/>
        <v>2.6558084808427473E-2</v>
      </c>
      <c r="N38" s="724">
        <f t="shared" si="5"/>
        <v>2.1457520945667264E-2</v>
      </c>
      <c r="P38" s="725"/>
      <c r="Q38" s="725"/>
      <c r="R38" s="725"/>
      <c r="S38" s="725"/>
      <c r="T38" s="725"/>
      <c r="U38" s="725"/>
    </row>
    <row r="39" spans="1:21" hidden="1" outlineLevel="1">
      <c r="B39" s="712"/>
    </row>
    <row r="40" spans="1:21" collapsed="1"/>
    <row r="41" spans="1:21">
      <c r="A41" s="714">
        <v>3</v>
      </c>
      <c r="B41" s="715" t="s">
        <v>799</v>
      </c>
    </row>
    <row r="43" spans="1:21">
      <c r="C43" s="718">
        <v>2009</v>
      </c>
      <c r="D43" s="718">
        <v>2010</v>
      </c>
      <c r="E43" s="718">
        <v>2011</v>
      </c>
      <c r="F43" s="718">
        <v>2012</v>
      </c>
      <c r="G43" s="718">
        <v>2013</v>
      </c>
      <c r="H43" s="718">
        <v>2014</v>
      </c>
      <c r="I43" s="718">
        <v>2015</v>
      </c>
      <c r="J43" s="722">
        <v>2016</v>
      </c>
      <c r="K43" s="722">
        <v>2017</v>
      </c>
      <c r="L43" s="722">
        <v>2018</v>
      </c>
      <c r="M43" s="722">
        <v>2019</v>
      </c>
      <c r="N43" s="722">
        <v>2020</v>
      </c>
    </row>
    <row r="44" spans="1:21">
      <c r="B44" s="719" t="s">
        <v>800</v>
      </c>
      <c r="C44" s="726">
        <v>29132013</v>
      </c>
      <c r="D44" s="726">
        <v>29461933</v>
      </c>
      <c r="E44" s="726">
        <v>29797694</v>
      </c>
      <c r="F44" s="726">
        <v>30135875</v>
      </c>
      <c r="G44" s="726">
        <v>30475144</v>
      </c>
      <c r="H44" s="726">
        <v>30814175</v>
      </c>
      <c r="I44" s="726">
        <v>31151643</v>
      </c>
      <c r="J44" s="727">
        <v>31488625</v>
      </c>
      <c r="K44" s="727">
        <v>31826018</v>
      </c>
      <c r="L44" s="727">
        <v>32162184</v>
      </c>
      <c r="M44" s="727">
        <v>32495510</v>
      </c>
      <c r="N44" s="727">
        <v>32824358</v>
      </c>
    </row>
    <row r="45" spans="1:21">
      <c r="B45" s="719" t="s">
        <v>801</v>
      </c>
      <c r="C45" s="728">
        <v>1.1281237769914076</v>
      </c>
      <c r="D45" s="729">
        <f>(D44-C44)/C44</f>
        <v>1.132499837893111E-2</v>
      </c>
      <c r="E45" s="729">
        <f t="shared" ref="E45:H45" si="6">(E44-D44)/D44</f>
        <v>1.1396434850354183E-2</v>
      </c>
      <c r="F45" s="729">
        <f t="shared" si="6"/>
        <v>1.1349233937364415E-2</v>
      </c>
      <c r="G45" s="729">
        <f t="shared" si="6"/>
        <v>1.125797741064429E-2</v>
      </c>
      <c r="H45" s="729">
        <f t="shared" si="6"/>
        <v>1.1124836686579726E-2</v>
      </c>
      <c r="I45" s="729">
        <f>(I44-H44)/H44</f>
        <v>1.0951712969761482E-2</v>
      </c>
      <c r="J45" s="724">
        <f t="shared" ref="J45:N45" si="7">(J44-I44)/I44</f>
        <v>1.081747116837465E-2</v>
      </c>
      <c r="K45" s="724">
        <f t="shared" si="7"/>
        <v>1.0714758107094229E-2</v>
      </c>
      <c r="L45" s="724">
        <f t="shared" si="7"/>
        <v>1.056261578184239E-2</v>
      </c>
      <c r="M45" s="724">
        <f t="shared" si="7"/>
        <v>1.0363910610050611E-2</v>
      </c>
      <c r="N45" s="724">
        <f t="shared" si="7"/>
        <v>1.01197980890283E-2</v>
      </c>
    </row>
    <row r="46" spans="1:21">
      <c r="D46" s="725"/>
      <c r="E46" s="725"/>
      <c r="F46" s="725"/>
      <c r="G46" s="725"/>
      <c r="H46" s="725"/>
    </row>
    <row r="48" spans="1:21">
      <c r="A48" s="714">
        <v>4</v>
      </c>
      <c r="B48" s="715" t="s">
        <v>802</v>
      </c>
    </row>
    <row r="50" spans="1:16">
      <c r="C50" s="718">
        <v>2009</v>
      </c>
      <c r="D50" s="718">
        <v>2010</v>
      </c>
      <c r="E50" s="718">
        <v>2011</v>
      </c>
      <c r="F50" s="718">
        <v>2012</v>
      </c>
      <c r="G50" s="718">
        <v>2013</v>
      </c>
      <c r="H50" s="718">
        <v>2014</v>
      </c>
      <c r="I50" s="718">
        <v>2015</v>
      </c>
      <c r="J50" s="718">
        <v>2016</v>
      </c>
      <c r="K50" s="718">
        <v>2017</v>
      </c>
      <c r="L50" s="718">
        <v>2018</v>
      </c>
      <c r="M50" s="718">
        <v>2019</v>
      </c>
      <c r="N50" s="718">
        <v>2020</v>
      </c>
    </row>
    <row r="51" spans="1:16">
      <c r="B51" s="719" t="s">
        <v>788</v>
      </c>
      <c r="C51" s="730">
        <f>+C25*$C$44</f>
        <v>1611000318.8999999</v>
      </c>
      <c r="D51" s="730">
        <f>+D25*$D$44</f>
        <v>1676383987.7</v>
      </c>
      <c r="E51" s="730">
        <f>+E25*$E$44</f>
        <v>1737205560.1999998</v>
      </c>
      <c r="F51" s="730">
        <f>+F25*$F$44</f>
        <v>1729799225</v>
      </c>
      <c r="G51" s="730">
        <f>+G25*$G$44</f>
        <v>1666990376.8000002</v>
      </c>
      <c r="H51" s="730">
        <f>+H25*$H$44</f>
        <v>1707105295</v>
      </c>
      <c r="I51" s="730">
        <f>+$I$44*I25</f>
        <v>1760317042.6440001</v>
      </c>
      <c r="J51" s="731">
        <f>I51*(1+J79)</f>
        <v>1832464192.2113216</v>
      </c>
      <c r="K51" s="731">
        <f t="shared" ref="K51:N52" si="8">J51*(1+K79)</f>
        <v>1897093633.5786021</v>
      </c>
      <c r="L51" s="731">
        <f t="shared" si="8"/>
        <v>1958831463.4028685</v>
      </c>
      <c r="M51" s="731">
        <f t="shared" si="8"/>
        <v>2013954914.1083434</v>
      </c>
      <c r="N51" s="731">
        <f t="shared" si="8"/>
        <v>2070385676.3283956</v>
      </c>
    </row>
    <row r="52" spans="1:16">
      <c r="B52" s="719" t="s">
        <v>789</v>
      </c>
      <c r="C52" s="730">
        <f>+C26*$C$44</f>
        <v>285493727.40000004</v>
      </c>
      <c r="D52" s="730">
        <f>+D26*$D$44</f>
        <v>288726943.40000004</v>
      </c>
      <c r="E52" s="730">
        <f>+E26*$E$44</f>
        <v>395415399.38</v>
      </c>
      <c r="F52" s="730">
        <f>+F26*$F$44</f>
        <v>455051712.5</v>
      </c>
      <c r="G52" s="730">
        <f>+G26*$G$44</f>
        <v>518077448</v>
      </c>
      <c r="H52" s="730">
        <f>+H26*$H$44</f>
        <v>573143655</v>
      </c>
      <c r="I52" s="730">
        <f>+$I$44*I26</f>
        <v>648535874.19431913</v>
      </c>
      <c r="J52" s="731">
        <f>I52*(1+J80)</f>
        <v>717730126.33144629</v>
      </c>
      <c r="K52" s="731">
        <f t="shared" si="8"/>
        <v>788272969.44138265</v>
      </c>
      <c r="L52" s="731">
        <f t="shared" si="8"/>
        <v>858632710.12487066</v>
      </c>
      <c r="M52" s="731">
        <f t="shared" si="8"/>
        <v>941998889.30619311</v>
      </c>
      <c r="N52" s="731">
        <f t="shared" si="8"/>
        <v>1026778789.3437506</v>
      </c>
    </row>
    <row r="53" spans="1:16">
      <c r="B53" s="719" t="s">
        <v>790</v>
      </c>
      <c r="C53" s="730">
        <f>+C27*$C$44</f>
        <v>90309240.299999997</v>
      </c>
      <c r="D53" s="730">
        <f>+D27*$D$44</f>
        <v>106062958.8</v>
      </c>
      <c r="E53" s="730">
        <f>+E27*$E$44</f>
        <v>125150314.80000001</v>
      </c>
      <c r="F53" s="730">
        <f>+F27*$F$44</f>
        <v>144652200</v>
      </c>
      <c r="G53" s="730">
        <f>+G27*$G$44</f>
        <v>164565777.60000002</v>
      </c>
      <c r="H53" s="730">
        <f>+H27*$H$44</f>
        <v>181803632.5</v>
      </c>
      <c r="I53" s="730">
        <f>+$I$44*I27</f>
        <v>205877609.94041008</v>
      </c>
      <c r="J53" s="731">
        <f t="shared" ref="J53:N53" si="9">I53*(1+J81)</f>
        <v>239925268.45828629</v>
      </c>
      <c r="K53" s="731">
        <f t="shared" si="9"/>
        <v>279541836.31565058</v>
      </c>
      <c r="L53" s="731">
        <f t="shared" si="9"/>
        <v>318957705.05436963</v>
      </c>
      <c r="M53" s="731">
        <f t="shared" si="9"/>
        <v>364420453.22416288</v>
      </c>
      <c r="N53" s="731">
        <f t="shared" si="9"/>
        <v>431039108.95206368</v>
      </c>
    </row>
    <row r="54" spans="1:16">
      <c r="B54" s="719" t="s">
        <v>791</v>
      </c>
      <c r="C54" s="730">
        <f>+C28*$C$44</f>
        <v>270927720.90000004</v>
      </c>
      <c r="D54" s="730">
        <f>+D28*$D$44</f>
        <v>275469073.55000001</v>
      </c>
      <c r="E54" s="730">
        <f>+E28*$E$44</f>
        <v>332244288.10000002</v>
      </c>
      <c r="F54" s="730">
        <f>+F28*$F$44</f>
        <v>367657675</v>
      </c>
      <c r="G54" s="730">
        <f>+G28*$G$44</f>
        <v>339797855.60000002</v>
      </c>
      <c r="H54" s="730">
        <f>+H28*$H$44</f>
        <v>345118760</v>
      </c>
      <c r="I54" s="730">
        <f>+$I$44*I28</f>
        <v>350362511.2638976</v>
      </c>
      <c r="J54" s="731">
        <f t="shared" ref="J54:N54" si="10">I54*(1+J82)</f>
        <v>361399395.78829861</v>
      </c>
      <c r="K54" s="731">
        <f t="shared" si="10"/>
        <v>368422920.96029699</v>
      </c>
      <c r="L54" s="731">
        <f t="shared" si="10"/>
        <v>374949024.55415976</v>
      </c>
      <c r="M54" s="731">
        <f t="shared" si="10"/>
        <v>382237344.4699958</v>
      </c>
      <c r="N54" s="731">
        <f t="shared" si="10"/>
        <v>392530766.09365314</v>
      </c>
    </row>
    <row r="55" spans="1:16">
      <c r="D55" s="85"/>
    </row>
    <row r="56" spans="1:16">
      <c r="D56" s="85"/>
    </row>
    <row r="57" spans="1:16" hidden="1" outlineLevel="1">
      <c r="A57" s="714">
        <v>5</v>
      </c>
      <c r="B57" s="715" t="s">
        <v>803</v>
      </c>
      <c r="D57" s="85"/>
    </row>
    <row r="58" spans="1:16" hidden="1" outlineLevel="1">
      <c r="D58" s="85"/>
    </row>
    <row r="59" spans="1:16" hidden="1" outlineLevel="1">
      <c r="C59" s="718">
        <v>2009</v>
      </c>
      <c r="D59" s="718">
        <v>2010</v>
      </c>
      <c r="E59" s="718">
        <v>2011</v>
      </c>
      <c r="F59" s="718">
        <v>2012</v>
      </c>
      <c r="G59" s="718">
        <v>2013</v>
      </c>
      <c r="H59" s="718">
        <v>2014</v>
      </c>
      <c r="I59" s="718">
        <v>2015</v>
      </c>
      <c r="J59" s="718">
        <v>2016</v>
      </c>
      <c r="K59" s="718">
        <v>2017</v>
      </c>
      <c r="L59" s="718">
        <v>2018</v>
      </c>
      <c r="M59" s="718">
        <v>2019</v>
      </c>
      <c r="N59" s="718">
        <v>2020</v>
      </c>
    </row>
    <row r="60" spans="1:16" hidden="1" outlineLevel="1">
      <c r="B60" s="719" t="s">
        <v>788</v>
      </c>
      <c r="C60" s="732">
        <v>0.65</v>
      </c>
      <c r="D60" s="732">
        <v>0.63300000000000001</v>
      </c>
      <c r="E60" s="732">
        <v>0.67300000000000004</v>
      </c>
      <c r="F60" s="732">
        <v>0.68300000000000005</v>
      </c>
      <c r="G60" s="732">
        <v>0.64700000000000002</v>
      </c>
      <c r="H60" s="732">
        <v>0.6967680307007218</v>
      </c>
      <c r="I60" s="732">
        <v>0.72</v>
      </c>
      <c r="J60" s="733">
        <f>J69/J51</f>
        <v>0.67931602864532181</v>
      </c>
      <c r="K60" s="733">
        <f t="shared" ref="K60:N60" si="11">K69/K51</f>
        <v>0.67931602864532192</v>
      </c>
      <c r="L60" s="733">
        <f t="shared" si="11"/>
        <v>0.67931602864532192</v>
      </c>
      <c r="M60" s="733">
        <f t="shared" si="11"/>
        <v>0.67931602864532203</v>
      </c>
      <c r="N60" s="733">
        <f t="shared" si="11"/>
        <v>0.67931602864532192</v>
      </c>
      <c r="P60" s="713" t="s">
        <v>804</v>
      </c>
    </row>
    <row r="61" spans="1:16" hidden="1" outlineLevel="1">
      <c r="B61" s="719" t="s">
        <v>789</v>
      </c>
      <c r="C61" s="732">
        <v>0.38</v>
      </c>
      <c r="D61" s="732">
        <v>0.40699999999999997</v>
      </c>
      <c r="E61" s="732">
        <v>0.39500000000000002</v>
      </c>
      <c r="F61" s="732">
        <v>0.40500000000000003</v>
      </c>
      <c r="G61" s="732">
        <v>0.33300000000000002</v>
      </c>
      <c r="H61" s="732">
        <v>0.29310383963325909</v>
      </c>
      <c r="I61" s="732">
        <v>0.3</v>
      </c>
      <c r="J61" s="733">
        <f t="shared" ref="J61:N63" si="12">J70/J52</f>
        <v>0.53779350090939826</v>
      </c>
      <c r="K61" s="733">
        <f t="shared" si="12"/>
        <v>0.53779350090939826</v>
      </c>
      <c r="L61" s="733">
        <f t="shared" si="12"/>
        <v>0.53779350090939815</v>
      </c>
      <c r="M61" s="733">
        <f t="shared" si="12"/>
        <v>0.53779350090939815</v>
      </c>
      <c r="N61" s="733">
        <f t="shared" si="12"/>
        <v>0.53779350090939804</v>
      </c>
    </row>
    <row r="62" spans="1:16" hidden="1" outlineLevel="1">
      <c r="B62" s="719" t="s">
        <v>790</v>
      </c>
      <c r="C62" s="732">
        <v>0.24</v>
      </c>
      <c r="D62" s="732">
        <v>0.22900000000000001</v>
      </c>
      <c r="E62" s="732">
        <v>0.219</v>
      </c>
      <c r="F62" s="732">
        <v>0.223</v>
      </c>
      <c r="G62" s="732">
        <v>0.20300000000000001</v>
      </c>
      <c r="H62" s="732">
        <v>0.16392091579270698</v>
      </c>
      <c r="I62" s="732">
        <v>0.14000000000000001</v>
      </c>
      <c r="J62" s="733">
        <f t="shared" si="12"/>
        <v>0.25008223109852684</v>
      </c>
      <c r="K62" s="733">
        <f t="shared" si="12"/>
        <v>0.25008223109852684</v>
      </c>
      <c r="L62" s="733">
        <f t="shared" si="12"/>
        <v>0.25008223109852684</v>
      </c>
      <c r="M62" s="733">
        <f t="shared" si="12"/>
        <v>0.25008223109852684</v>
      </c>
      <c r="N62" s="733">
        <f t="shared" si="12"/>
        <v>0.25008223109852684</v>
      </c>
    </row>
    <row r="63" spans="1:16" hidden="1" outlineLevel="1">
      <c r="B63" s="719" t="s">
        <v>791</v>
      </c>
      <c r="C63" s="732">
        <v>0.52</v>
      </c>
      <c r="D63" s="732">
        <v>0.432</v>
      </c>
      <c r="E63" s="732">
        <v>0.46200000000000002</v>
      </c>
      <c r="F63" s="732">
        <v>0.496</v>
      </c>
      <c r="G63" s="732">
        <v>0.191</v>
      </c>
      <c r="H63" s="732">
        <v>0.26846447611025298</v>
      </c>
      <c r="I63" s="732">
        <v>0.28401735087816282</v>
      </c>
      <c r="J63" s="733">
        <f t="shared" si="12"/>
        <v>0.18487459504530732</v>
      </c>
      <c r="K63" s="733">
        <f t="shared" si="12"/>
        <v>0.18487459504530734</v>
      </c>
      <c r="L63" s="733">
        <f t="shared" si="12"/>
        <v>0.18487459504530734</v>
      </c>
      <c r="M63" s="733">
        <f t="shared" si="12"/>
        <v>0.18487459504530737</v>
      </c>
      <c r="N63" s="733">
        <f t="shared" si="12"/>
        <v>0.18487459504530737</v>
      </c>
    </row>
    <row r="64" spans="1:16" hidden="1" outlineLevel="1">
      <c r="C64" s="734"/>
      <c r="D64" s="734"/>
      <c r="E64" s="734"/>
      <c r="F64" s="734"/>
      <c r="G64" s="734"/>
      <c r="H64" s="734"/>
      <c r="I64" s="734"/>
      <c r="J64" s="734"/>
      <c r="K64" s="734"/>
      <c r="L64" s="734"/>
      <c r="M64" s="734"/>
      <c r="N64" s="734"/>
    </row>
    <row r="65" spans="1:20" collapsed="1">
      <c r="C65" s="734"/>
      <c r="D65" s="734"/>
      <c r="E65" s="734"/>
      <c r="F65" s="734"/>
      <c r="G65" s="734"/>
      <c r="H65" s="734"/>
    </row>
    <row r="66" spans="1:20">
      <c r="A66" s="714">
        <v>6</v>
      </c>
      <c r="B66" s="715" t="s">
        <v>805</v>
      </c>
      <c r="C66" s="734"/>
      <c r="D66" s="734"/>
      <c r="E66" s="734"/>
      <c r="F66" s="734"/>
      <c r="G66" s="734"/>
      <c r="H66" s="734"/>
    </row>
    <row r="67" spans="1:20">
      <c r="C67" s="734"/>
      <c r="D67" s="734"/>
      <c r="E67" s="734"/>
      <c r="F67" s="734"/>
      <c r="G67" s="734"/>
      <c r="H67" s="734"/>
      <c r="I67" s="735"/>
    </row>
    <row r="68" spans="1:20">
      <c r="C68" s="718">
        <v>2009</v>
      </c>
      <c r="D68" s="718">
        <v>2010</v>
      </c>
      <c r="E68" s="718">
        <v>2011</v>
      </c>
      <c r="F68" s="718">
        <v>2012</v>
      </c>
      <c r="G68" s="718">
        <v>2013</v>
      </c>
      <c r="H68" s="718">
        <v>2014</v>
      </c>
      <c r="I68" s="718">
        <v>2015</v>
      </c>
      <c r="J68" s="718">
        <v>2016</v>
      </c>
      <c r="K68" s="718">
        <v>2017</v>
      </c>
      <c r="L68" s="718">
        <v>2018</v>
      </c>
      <c r="M68" s="718">
        <v>2019</v>
      </c>
      <c r="N68" s="718">
        <v>2020</v>
      </c>
    </row>
    <row r="69" spans="1:20">
      <c r="B69" s="719" t="s">
        <v>788</v>
      </c>
      <c r="C69" s="730">
        <f>'Caja a Litros'!N25*1000000</f>
        <v>1027739299.3559999</v>
      </c>
      <c r="D69" s="730">
        <f>'Caja a Litros'!O25*1000000</f>
        <v>1056129887.7359999</v>
      </c>
      <c r="E69" s="730">
        <f>'Caja a Litros'!P25*1000000</f>
        <v>1141301652.8759999</v>
      </c>
      <c r="F69" s="730">
        <f>'Caja a Litros'!Q25*1000000</f>
        <v>1169692241.2559998</v>
      </c>
      <c r="G69" s="730">
        <f>'Caja a Litros'!R25*1000000</f>
        <v>1152657888.2279999</v>
      </c>
      <c r="H69" s="730">
        <f>'Caja a Litros'!S25*1000000</f>
        <v>1169692241.2559998</v>
      </c>
      <c r="I69" s="730">
        <f>'Caja a Litros'!T25*1000000</f>
        <v>1195811582.5655997</v>
      </c>
      <c r="J69" s="736">
        <f>I69*(1+J79)</f>
        <v>1244822297.6877527</v>
      </c>
      <c r="K69" s="736">
        <f t="shared" ref="K69:N70" si="13">J69*(1+K79)</f>
        <v>1288726113.1309395</v>
      </c>
      <c r="L69" s="736">
        <f t="shared" si="13"/>
        <v>1330665610.5043409</v>
      </c>
      <c r="M69" s="736">
        <f t="shared" si="13"/>
        <v>1368111854.1228104</v>
      </c>
      <c r="N69" s="736">
        <f t="shared" si="13"/>
        <v>1406446175.4075646</v>
      </c>
    </row>
    <row r="70" spans="1:20">
      <c r="B70" s="719" t="s">
        <v>789</v>
      </c>
      <c r="C70" s="730">
        <f>'Caja a Litros'!N26*1000000</f>
        <v>186810071.54039997</v>
      </c>
      <c r="D70" s="730">
        <f>'Caja a Litros'!O26*1000000</f>
        <v>214632848.15279996</v>
      </c>
      <c r="E70" s="730">
        <f>'Caja a Litros'!P26*1000000</f>
        <v>249837177.74399999</v>
      </c>
      <c r="F70" s="730">
        <f>'Caja a Litros'!Q26*1000000</f>
        <v>300940236.82799995</v>
      </c>
      <c r="G70" s="730">
        <f>'Caja a Litros'!R26*1000000</f>
        <v>315135531.01799995</v>
      </c>
      <c r="H70" s="730">
        <f>'Caja a Litros'!S26*1000000</f>
        <v>337280189.95439994</v>
      </c>
      <c r="I70" s="730">
        <f>'Caja a Litros'!T26*1000000</f>
        <v>348778378.24829996</v>
      </c>
      <c r="J70" s="736">
        <f>I70*(1+J80)</f>
        <v>385990597.34793317</v>
      </c>
      <c r="K70" s="736">
        <f t="shared" si="13"/>
        <v>423928079.90812826</v>
      </c>
      <c r="L70" s="736">
        <f t="shared" si="13"/>
        <v>461767091.17337865</v>
      </c>
      <c r="M70" s="736">
        <f t="shared" si="13"/>
        <v>506600880.5327422</v>
      </c>
      <c r="N70" s="736">
        <f t="shared" si="13"/>
        <v>552194959.780689</v>
      </c>
    </row>
    <row r="71" spans="1:20">
      <c r="B71" s="719" t="s">
        <v>790</v>
      </c>
      <c r="C71" s="730">
        <f>'Caja a Litros'!N28*1000000</f>
        <v>14195294.189999998</v>
      </c>
      <c r="D71" s="730">
        <f>'Caja a Litros'!O28*1000000</f>
        <v>17034353.027999997</v>
      </c>
      <c r="E71" s="730">
        <f>'Caja a Litros'!P28*1000000</f>
        <v>19873411.865999997</v>
      </c>
      <c r="F71" s="730">
        <f>'Caja a Litros'!Q28*1000000</f>
        <v>25551529.541999996</v>
      </c>
      <c r="G71" s="730">
        <f>'Caja a Litros'!R28*1000000</f>
        <v>28958400.147599995</v>
      </c>
      <c r="H71" s="730">
        <f>'Caja a Litros'!S28*1000000</f>
        <v>27254964.844799995</v>
      </c>
      <c r="I71" s="730">
        <f>'Caja a Litros'!T28*1000000</f>
        <v>51486332.02713</v>
      </c>
      <c r="J71" s="736">
        <f t="shared" ref="J71:N72" si="14">I71*(1+J81)</f>
        <v>60001046.432961248</v>
      </c>
      <c r="K71" s="736">
        <f t="shared" si="14"/>
        <v>69908446.111197099</v>
      </c>
      <c r="L71" s="736">
        <f t="shared" si="14"/>
        <v>79765654.506062627</v>
      </c>
      <c r="M71" s="736">
        <f t="shared" si="14"/>
        <v>91135080.000234991</v>
      </c>
      <c r="N71" s="736">
        <f t="shared" si="14"/>
        <v>107795222.05745308</v>
      </c>
    </row>
    <row r="72" spans="1:20">
      <c r="B72" s="719" t="s">
        <v>791</v>
      </c>
      <c r="C72" s="730">
        <f>'Caja a Litros'!N27*1000000</f>
        <v>61891482.668399997</v>
      </c>
      <c r="D72" s="730">
        <f>'Caja a Litros'!O27*1000000</f>
        <v>55645553.224799998</v>
      </c>
      <c r="E72" s="730">
        <f>'Caja a Litros'!P27*1000000</f>
        <v>60755859.13319999</v>
      </c>
      <c r="F72" s="730">
        <f>'Caja a Litros'!Q27*1000000</f>
        <v>62459294.435999997</v>
      </c>
      <c r="G72" s="730">
        <f>'Caja a Litros'!R27*1000000</f>
        <v>63027106.203599989</v>
      </c>
      <c r="H72" s="730">
        <f>'Caja a Litros'!S27*1000000</f>
        <v>61891482.668399997</v>
      </c>
      <c r="I72" s="730">
        <f>'Caja a Litros'!T27*1000000</f>
        <v>64773127.388969995</v>
      </c>
      <c r="J72" s="736">
        <f t="shared" si="14"/>
        <v>66813566.945980452</v>
      </c>
      <c r="K72" s="736">
        <f t="shared" si="14"/>
        <v>68112038.317944184</v>
      </c>
      <c r="L72" s="736">
        <f t="shared" si="14"/>
        <v>69318549.07708329</v>
      </c>
      <c r="M72" s="736">
        <f t="shared" si="14"/>
        <v>70665974.270084128</v>
      </c>
      <c r="N72" s="736">
        <f t="shared" si="14"/>
        <v>72568966.424388394</v>
      </c>
    </row>
    <row r="73" spans="1:20" s="369" customFormat="1">
      <c r="A73" s="737"/>
      <c r="B73" s="738" t="s">
        <v>783</v>
      </c>
      <c r="C73" s="738">
        <f>SUM(C69:C72)</f>
        <v>1290636147.7548001</v>
      </c>
      <c r="D73" s="738">
        <f t="shared" ref="D73:H73" si="15">SUM(D69:D72)</f>
        <v>1343442642.1416001</v>
      </c>
      <c r="E73" s="738">
        <f t="shared" si="15"/>
        <v>1471768101.6191998</v>
      </c>
      <c r="F73" s="738">
        <f t="shared" si="15"/>
        <v>1558643302.0619998</v>
      </c>
      <c r="G73" s="738">
        <f t="shared" si="15"/>
        <v>1559778925.5971997</v>
      </c>
      <c r="H73" s="738">
        <f t="shared" si="15"/>
        <v>1596118878.7235997</v>
      </c>
      <c r="I73" s="738">
        <f>SUM(I69:I72)</f>
        <v>1660849420.2299993</v>
      </c>
      <c r="J73" s="738">
        <f t="shared" ref="J73:N73" si="16">SUM(J69:J72)</f>
        <v>1757627508.4146278</v>
      </c>
      <c r="K73" s="738">
        <f t="shared" si="16"/>
        <v>1850674677.468209</v>
      </c>
      <c r="L73" s="738">
        <f t="shared" si="16"/>
        <v>1941516905.2608654</v>
      </c>
      <c r="M73" s="738">
        <f t="shared" si="16"/>
        <v>2036513788.9258718</v>
      </c>
      <c r="N73" s="738">
        <f t="shared" si="16"/>
        <v>2139005323.6700952</v>
      </c>
    </row>
    <row r="74" spans="1:20" s="369" customFormat="1">
      <c r="A74" s="737"/>
      <c r="B74" s="739"/>
      <c r="C74" s="739"/>
      <c r="D74" s="739"/>
      <c r="E74" s="739"/>
      <c r="F74" s="739"/>
      <c r="G74" s="739"/>
      <c r="H74" s="739"/>
      <c r="I74" s="1526">
        <f>+(I73/D73)^(1/5)-1</f>
        <v>4.3331274986404544E-2</v>
      </c>
      <c r="J74" s="739"/>
      <c r="K74" s="739"/>
      <c r="L74" s="739"/>
      <c r="M74" s="739"/>
      <c r="N74" s="1526">
        <f>+(N73/J73)^(1/4)-1</f>
        <v>5.0319082885228017E-2</v>
      </c>
    </row>
    <row r="75" spans="1:20" s="369" customFormat="1">
      <c r="A75" s="737"/>
      <c r="B75" s="375"/>
      <c r="C75" s="740"/>
      <c r="D75" s="740"/>
      <c r="E75" s="740"/>
      <c r="F75" s="740"/>
      <c r="G75" s="740"/>
      <c r="H75" s="740"/>
      <c r="I75" s="741"/>
      <c r="J75" s="741"/>
      <c r="K75" s="741"/>
      <c r="L75" s="741"/>
      <c r="M75" s="741"/>
      <c r="N75" s="1535">
        <f>N74-I74</f>
        <v>6.9878078988234726E-3</v>
      </c>
    </row>
    <row r="76" spans="1:20">
      <c r="A76" s="714">
        <v>7</v>
      </c>
      <c r="B76" s="715" t="s">
        <v>1377</v>
      </c>
    </row>
    <row r="77" spans="1:20" s="369" customFormat="1" ht="14.25" customHeight="1">
      <c r="B77" s="742"/>
      <c r="C77" s="743"/>
      <c r="D77" s="743"/>
      <c r="E77" s="743"/>
      <c r="F77" s="743"/>
      <c r="G77" s="743"/>
      <c r="H77" s="743"/>
      <c r="I77" s="743"/>
      <c r="J77" s="743"/>
      <c r="K77" s="743"/>
      <c r="L77" s="743"/>
      <c r="M77" s="743"/>
      <c r="N77" s="744"/>
    </row>
    <row r="78" spans="1:20">
      <c r="A78" s="713"/>
      <c r="C78" s="718">
        <v>2009</v>
      </c>
      <c r="D78" s="718">
        <v>2010</v>
      </c>
      <c r="E78" s="718">
        <v>2011</v>
      </c>
      <c r="F78" s="718">
        <v>2012</v>
      </c>
      <c r="G78" s="718">
        <v>2013</v>
      </c>
      <c r="H78" s="718">
        <v>2014</v>
      </c>
      <c r="I78" s="718">
        <v>2015</v>
      </c>
      <c r="J78" s="722">
        <v>2016</v>
      </c>
      <c r="K78" s="722">
        <v>2017</v>
      </c>
      <c r="L78" s="722">
        <v>2018</v>
      </c>
      <c r="M78" s="722">
        <v>2019</v>
      </c>
      <c r="N78" s="722">
        <v>2020</v>
      </c>
    </row>
    <row r="79" spans="1:20">
      <c r="A79" s="713"/>
      <c r="B79" s="719" t="s">
        <v>788</v>
      </c>
      <c r="C79" s="732"/>
      <c r="D79" s="732">
        <f t="shared" ref="D79:N83" si="17">(D69-C69)/C69</f>
        <v>2.7624309392265189E-2</v>
      </c>
      <c r="E79" s="732">
        <f t="shared" si="17"/>
        <v>8.0645161290322578E-2</v>
      </c>
      <c r="F79" s="732">
        <f t="shared" si="17"/>
        <v>2.4875621890547157E-2</v>
      </c>
      <c r="G79" s="732">
        <f t="shared" si="17"/>
        <v>-1.4563106796116403E-2</v>
      </c>
      <c r="H79" s="732">
        <f t="shared" si="17"/>
        <v>1.4778325123152605E-2</v>
      </c>
      <c r="I79" s="732">
        <f t="shared" si="17"/>
        <v>2.2330097087378539E-2</v>
      </c>
      <c r="J79" s="724">
        <f>5.69240494590397%*J89</f>
        <v>4.0985315610508583E-2</v>
      </c>
      <c r="K79" s="724">
        <f>4.89849206285393%*K89</f>
        <v>3.5269142852548292E-2</v>
      </c>
      <c r="L79" s="724">
        <f>4.51991321615936%*L89</f>
        <v>3.2543375156347386E-2</v>
      </c>
      <c r="M79" s="724">
        <f>3.90847041373576%*M89</f>
        <v>2.8140986978897473E-2</v>
      </c>
      <c r="N79" s="724">
        <f>3.89164911736177%*N89</f>
        <v>2.8019873645004745E-2</v>
      </c>
      <c r="Q79" s="734"/>
      <c r="R79" s="734"/>
      <c r="S79" s="734"/>
      <c r="T79" s="734"/>
    </row>
    <row r="80" spans="1:20">
      <c r="A80" s="713"/>
      <c r="B80" s="719" t="s">
        <v>789</v>
      </c>
      <c r="C80" s="732"/>
      <c r="D80" s="732">
        <f t="shared" si="17"/>
        <v>0.14893617021276595</v>
      </c>
      <c r="E80" s="732">
        <f t="shared" si="17"/>
        <v>0.16402116402116415</v>
      </c>
      <c r="F80" s="732">
        <f t="shared" si="17"/>
        <v>0.20454545454545439</v>
      </c>
      <c r="G80" s="732">
        <f t="shared" si="17"/>
        <v>4.716981132075472E-2</v>
      </c>
      <c r="H80" s="732">
        <f t="shared" si="17"/>
        <v>7.0270270270270274E-2</v>
      </c>
      <c r="I80" s="732">
        <f t="shared" si="17"/>
        <v>3.4090909090909137E-2</v>
      </c>
      <c r="J80" s="724">
        <v>0.10669302175934001</v>
      </c>
      <c r="K80" s="724">
        <v>9.8286027744862697E-2</v>
      </c>
      <c r="L80" s="724">
        <v>8.9258091309853002E-2</v>
      </c>
      <c r="M80" s="724">
        <v>9.7091781151918299E-2</v>
      </c>
      <c r="N80" s="724">
        <v>0.09</v>
      </c>
      <c r="Q80" s="734"/>
      <c r="R80" s="734"/>
      <c r="S80" s="734"/>
      <c r="T80" s="734"/>
    </row>
    <row r="81" spans="1:21">
      <c r="A81" s="713"/>
      <c r="B81" s="719" t="s">
        <v>790</v>
      </c>
      <c r="C81" s="732"/>
      <c r="D81" s="732">
        <f t="shared" si="17"/>
        <v>0.2</v>
      </c>
      <c r="E81" s="732">
        <f t="shared" si="17"/>
        <v>0.16666666666666666</v>
      </c>
      <c r="F81" s="732">
        <f t="shared" si="17"/>
        <v>0.2857142857142857</v>
      </c>
      <c r="G81" s="732">
        <f t="shared" si="17"/>
        <v>0.13333333333333333</v>
      </c>
      <c r="H81" s="732">
        <f t="shared" si="17"/>
        <v>-5.8823529411764705E-2</v>
      </c>
      <c r="I81" s="732">
        <v>0.3</v>
      </c>
      <c r="J81" s="724">
        <f t="shared" ref="J81:N82" si="18">AVERAGE(E81:I81)</f>
        <v>0.1653781512605042</v>
      </c>
      <c r="K81" s="724">
        <f t="shared" si="18"/>
        <v>0.16512044817927168</v>
      </c>
      <c r="L81" s="724">
        <f t="shared" si="18"/>
        <v>0.14100168067226887</v>
      </c>
      <c r="M81" s="724">
        <f t="shared" si="18"/>
        <v>0.142535350140056</v>
      </c>
      <c r="N81" s="724">
        <f t="shared" si="18"/>
        <v>0.18280712605042015</v>
      </c>
      <c r="Q81" s="745"/>
      <c r="R81" s="746"/>
      <c r="S81" s="745"/>
      <c r="T81" s="745"/>
      <c r="U81" s="745"/>
    </row>
    <row r="82" spans="1:21">
      <c r="A82" s="713"/>
      <c r="B82" s="719" t="s">
        <v>791</v>
      </c>
      <c r="C82" s="732"/>
      <c r="D82" s="732">
        <f t="shared" si="17"/>
        <v>-0.10091743119266054</v>
      </c>
      <c r="E82" s="732">
        <f t="shared" si="17"/>
        <v>9.1836734693877403E-2</v>
      </c>
      <c r="F82" s="732">
        <f t="shared" si="17"/>
        <v>2.8037383177570215E-2</v>
      </c>
      <c r="G82" s="732">
        <f t="shared" si="17"/>
        <v>9.0909090909089708E-3</v>
      </c>
      <c r="H82" s="732">
        <f t="shared" si="17"/>
        <v>-1.80180180180179E-2</v>
      </c>
      <c r="I82" s="732">
        <f t="shared" si="17"/>
        <v>4.6559633027522904E-2</v>
      </c>
      <c r="J82" s="724">
        <f>AVERAGE(E82:I82)</f>
        <v>3.1501328394372322E-2</v>
      </c>
      <c r="K82" s="724">
        <f t="shared" si="18"/>
        <v>1.9434247134471304E-2</v>
      </c>
      <c r="L82" s="724">
        <f t="shared" si="18"/>
        <v>1.771361992585152E-2</v>
      </c>
      <c r="M82" s="724">
        <f t="shared" si="18"/>
        <v>1.9438162092840029E-2</v>
      </c>
      <c r="N82" s="724">
        <f t="shared" si="18"/>
        <v>2.6929398115011615E-2</v>
      </c>
    </row>
    <row r="83" spans="1:21">
      <c r="A83" s="713"/>
      <c r="B83" s="738" t="s">
        <v>783</v>
      </c>
      <c r="C83" s="738"/>
      <c r="D83" s="747">
        <f t="shared" si="17"/>
        <v>4.0915090189177335E-2</v>
      </c>
      <c r="E83" s="747">
        <f t="shared" si="17"/>
        <v>9.551986475063369E-2</v>
      </c>
      <c r="F83" s="747">
        <f t="shared" si="17"/>
        <v>5.9027777777777818E-2</v>
      </c>
      <c r="G83" s="748">
        <f t="shared" si="17"/>
        <v>7.2859744990884877E-4</v>
      </c>
      <c r="H83" s="747">
        <f t="shared" si="17"/>
        <v>2.3298143429195489E-2</v>
      </c>
      <c r="I83" s="747">
        <f t="shared" si="17"/>
        <v>4.0554962646744706E-2</v>
      </c>
      <c r="J83" s="749">
        <f t="shared" si="17"/>
        <v>5.8270236305484197E-2</v>
      </c>
      <c r="K83" s="749">
        <f t="shared" si="17"/>
        <v>5.293907190694197E-2</v>
      </c>
      <c r="L83" s="749">
        <f t="shared" si="17"/>
        <v>4.9086005713836173E-2</v>
      </c>
      <c r="M83" s="749">
        <f t="shared" si="17"/>
        <v>4.8929207573519665E-2</v>
      </c>
      <c r="N83" s="749">
        <f t="shared" si="17"/>
        <v>5.0326953493539051E-2</v>
      </c>
    </row>
    <row r="84" spans="1:21">
      <c r="A84" s="713"/>
      <c r="B84" s="717"/>
      <c r="C84" s="717"/>
      <c r="D84" s="717"/>
      <c r="E84" s="717"/>
      <c r="F84" s="717"/>
      <c r="G84" s="717"/>
      <c r="H84" s="717"/>
      <c r="I84" s="717"/>
      <c r="J84" s="717"/>
      <c r="K84" s="717"/>
      <c r="L84" s="717"/>
      <c r="M84" s="717"/>
      <c r="N84" s="717"/>
    </row>
    <row r="85" spans="1:21">
      <c r="A85" s="713"/>
      <c r="B85" s="1525" t="s">
        <v>1943</v>
      </c>
      <c r="C85" s="717"/>
      <c r="D85" s="717"/>
      <c r="E85" s="717"/>
      <c r="F85" s="717"/>
      <c r="G85" s="717"/>
      <c r="H85" s="717"/>
      <c r="I85" s="717"/>
      <c r="J85" s="717"/>
      <c r="K85" s="717"/>
      <c r="L85" s="717"/>
      <c r="M85" s="717"/>
      <c r="N85" s="717"/>
    </row>
    <row r="86" spans="1:21">
      <c r="A86" s="713"/>
      <c r="B86" s="777"/>
      <c r="C86" s="717"/>
      <c r="D86" s="717"/>
      <c r="E86" s="717"/>
      <c r="F86" s="717"/>
      <c r="G86" s="717"/>
      <c r="H86" s="717"/>
      <c r="I86" s="717"/>
      <c r="J86" s="717"/>
      <c r="K86" s="717"/>
      <c r="L86" s="717"/>
      <c r="M86" s="717"/>
      <c r="N86" s="717"/>
    </row>
    <row r="87" spans="1:21">
      <c r="A87" s="713"/>
      <c r="C87" s="718">
        <v>2009</v>
      </c>
      <c r="D87" s="718">
        <v>2010</v>
      </c>
      <c r="E87" s="718">
        <v>2011</v>
      </c>
      <c r="F87" s="718">
        <v>2012</v>
      </c>
      <c r="G87" s="718">
        <v>2013</v>
      </c>
      <c r="H87" s="718">
        <v>2014</v>
      </c>
      <c r="I87" s="718">
        <v>2015</v>
      </c>
      <c r="J87" s="722">
        <v>2016</v>
      </c>
      <c r="K87" s="722">
        <v>2017</v>
      </c>
      <c r="L87" s="722">
        <v>2018</v>
      </c>
      <c r="M87" s="722">
        <v>2019</v>
      </c>
      <c r="N87" s="722">
        <v>2020</v>
      </c>
    </row>
    <row r="88" spans="1:21">
      <c r="A88" s="713"/>
      <c r="B88" s="719" t="s">
        <v>788</v>
      </c>
      <c r="C88" s="732"/>
      <c r="D88" s="732">
        <f>+D79</f>
        <v>2.7624309392265189E-2</v>
      </c>
      <c r="E88" s="732">
        <f t="shared" ref="E88:I88" si="19">+E79</f>
        <v>8.0645161290322578E-2</v>
      </c>
      <c r="F88" s="732">
        <f t="shared" si="19"/>
        <v>2.4875621890547157E-2</v>
      </c>
      <c r="G88" s="732">
        <f t="shared" si="19"/>
        <v>-1.4563106796116403E-2</v>
      </c>
      <c r="H88" s="732">
        <f t="shared" si="19"/>
        <v>1.4778325123152605E-2</v>
      </c>
      <c r="I88" s="732">
        <f t="shared" si="19"/>
        <v>2.2330097087378539E-2</v>
      </c>
      <c r="J88" s="724">
        <v>5.6924049459039699E-2</v>
      </c>
      <c r="K88" s="724">
        <v>4.8984920628539298E-2</v>
      </c>
      <c r="L88" s="724">
        <v>4.5199132161593603E-2</v>
      </c>
      <c r="M88" s="724">
        <v>3.9084704137357602E-2</v>
      </c>
      <c r="N88" s="724">
        <v>3.8916491173617701E-2</v>
      </c>
      <c r="Q88" s="734"/>
      <c r="R88" s="734"/>
      <c r="S88" s="734"/>
      <c r="T88" s="734"/>
    </row>
    <row r="89" spans="1:21" s="369" customFormat="1">
      <c r="B89" s="750"/>
      <c r="C89" s="751"/>
      <c r="D89" s="752"/>
      <c r="E89" s="752"/>
      <c r="F89" s="752"/>
      <c r="G89" s="752"/>
      <c r="H89" s="752"/>
      <c r="I89" s="753"/>
      <c r="J89" s="753">
        <v>0.72</v>
      </c>
      <c r="K89" s="753">
        <v>0.72</v>
      </c>
      <c r="L89" s="753">
        <v>0.72</v>
      </c>
      <c r="M89" s="753">
        <v>0.72</v>
      </c>
      <c r="N89" s="753">
        <v>0.72</v>
      </c>
      <c r="O89" s="754"/>
      <c r="P89" s="754"/>
      <c r="Q89" s="754"/>
      <c r="R89" s="754"/>
      <c r="S89" s="754"/>
    </row>
    <row r="90" spans="1:21">
      <c r="A90" s="714">
        <v>8</v>
      </c>
      <c r="B90" s="715" t="s">
        <v>1386</v>
      </c>
    </row>
    <row r="91" spans="1:21">
      <c r="E91" s="755"/>
      <c r="F91" s="755"/>
      <c r="G91" s="755"/>
      <c r="H91" s="755"/>
      <c r="I91" s="755"/>
    </row>
    <row r="92" spans="1:21">
      <c r="C92" s="718">
        <v>2009</v>
      </c>
      <c r="D92" s="718">
        <v>2010</v>
      </c>
      <c r="E92" s="718">
        <v>2011</v>
      </c>
      <c r="F92" s="718">
        <v>2012</v>
      </c>
      <c r="G92" s="718">
        <v>2013</v>
      </c>
      <c r="H92" s="718">
        <v>2014</v>
      </c>
      <c r="I92" s="718">
        <v>2015</v>
      </c>
      <c r="J92" s="722">
        <v>2016</v>
      </c>
      <c r="K92" s="722">
        <v>2017</v>
      </c>
      <c r="L92" s="722">
        <v>2018</v>
      </c>
      <c r="M92" s="722">
        <v>2019</v>
      </c>
      <c r="N92" s="722">
        <v>2020</v>
      </c>
    </row>
    <row r="93" spans="1:21">
      <c r="B93" s="719" t="s">
        <v>788</v>
      </c>
      <c r="C93" s="756">
        <f>PU!G69</f>
        <v>0.39136482796291155</v>
      </c>
      <c r="D93" s="756">
        <f>PU!H69</f>
        <v>0.41697926896490378</v>
      </c>
      <c r="E93" s="756">
        <f>PU!I69</f>
        <v>0.46715266933419947</v>
      </c>
      <c r="F93" s="756">
        <f>PU!J69</f>
        <v>0.54063336986774657</v>
      </c>
      <c r="G93" s="756">
        <f>PU!K69</f>
        <v>0.51097539922392154</v>
      </c>
      <c r="H93" s="756">
        <f>PU!L69</f>
        <v>0.49347312564041257</v>
      </c>
      <c r="I93" s="756">
        <f>PU!M69</f>
        <v>0.46725804190820136</v>
      </c>
      <c r="J93" s="757">
        <v>0.49</v>
      </c>
      <c r="K93" s="757">
        <f t="shared" ref="K93:L93" si="20">J93+$P93</f>
        <v>0.505</v>
      </c>
      <c r="L93" s="757">
        <f t="shared" si="20"/>
        <v>0.52</v>
      </c>
      <c r="M93" s="757">
        <v>0.53</v>
      </c>
      <c r="N93" s="757">
        <v>0.52</v>
      </c>
      <c r="P93" s="1316">
        <f>ROUND((H93-D93)/5,3)</f>
        <v>1.4999999999999999E-2</v>
      </c>
      <c r="Q93" s="1316"/>
    </row>
    <row r="94" spans="1:21">
      <c r="B94" s="719" t="s">
        <v>789</v>
      </c>
      <c r="C94" s="756">
        <f>PU!G70</f>
        <v>0.23511940611570667</v>
      </c>
      <c r="D94" s="756">
        <f>PU!H70</f>
        <v>0.26870820196606571</v>
      </c>
      <c r="E94" s="756">
        <f>PU!I70</f>
        <v>0.25657129118636035</v>
      </c>
      <c r="F94" s="756">
        <f>PU!J70</f>
        <v>0.33020895313215998</v>
      </c>
      <c r="G94" s="756">
        <f>PU!K70</f>
        <v>0.31565888016598026</v>
      </c>
      <c r="H94" s="756">
        <f>PU!L70</f>
        <v>0.30638109893366672</v>
      </c>
      <c r="I94" s="756">
        <f>PU!M70</f>
        <v>0.27078891247593406</v>
      </c>
      <c r="J94" s="757">
        <f>I94+$P94</f>
        <v>0.27878891247593407</v>
      </c>
      <c r="K94" s="757">
        <f t="shared" ref="K94:M94" si="21">J94+$P94</f>
        <v>0.28678891247593408</v>
      </c>
      <c r="L94" s="757">
        <f t="shared" si="21"/>
        <v>0.29478891247593408</v>
      </c>
      <c r="M94" s="757">
        <f t="shared" si="21"/>
        <v>0.30278891247593409</v>
      </c>
      <c r="N94" s="757">
        <f>M94+$P94</f>
        <v>0.3107889124759341</v>
      </c>
      <c r="P94" s="1316">
        <f>ROUND((H94-D94)/5,3)</f>
        <v>8.0000000000000002E-3</v>
      </c>
      <c r="Q94" s="1316"/>
    </row>
    <row r="95" spans="1:21">
      <c r="B95" s="719" t="s">
        <v>790</v>
      </c>
      <c r="C95" s="756">
        <f>PU!G72</f>
        <v>0.65781596363018013</v>
      </c>
      <c r="D95" s="756">
        <f>PU!H72</f>
        <v>0.6478853314070695</v>
      </c>
      <c r="E95" s="756">
        <f>PU!I72</f>
        <v>0.67163058122437258</v>
      </c>
      <c r="F95" s="756">
        <f>PU!J72</f>
        <v>0.70711412185876688</v>
      </c>
      <c r="G95" s="756">
        <f>PU!K72</f>
        <v>0.66725184360096113</v>
      </c>
      <c r="H95" s="756">
        <f>PU!L72</f>
        <v>0.67485642544248192</v>
      </c>
      <c r="I95" s="756">
        <f>PU!M72</f>
        <v>0.35889975075702335</v>
      </c>
      <c r="J95" s="757">
        <f>H95+$P95</f>
        <v>0.67985642544248193</v>
      </c>
      <c r="K95" s="757">
        <f t="shared" ref="K95:M95" si="22">J95+$P95</f>
        <v>0.68485642544248193</v>
      </c>
      <c r="L95" s="757">
        <f t="shared" si="22"/>
        <v>0.68985642544248194</v>
      </c>
      <c r="M95" s="757">
        <f t="shared" si="22"/>
        <v>0.69485642544248194</v>
      </c>
      <c r="N95" s="757">
        <f>M95+$P95</f>
        <v>0.69985642544248194</v>
      </c>
      <c r="P95" s="1316">
        <f>ROUND((H95-D95)/5,3)</f>
        <v>5.0000000000000001E-3</v>
      </c>
      <c r="Q95" s="1316"/>
    </row>
    <row r="96" spans="1:21">
      <c r="B96" s="719" t="s">
        <v>791</v>
      </c>
      <c r="C96" s="756">
        <f>PU!G71</f>
        <v>0.62585276865936279</v>
      </c>
      <c r="D96" s="756">
        <f>PU!H71</f>
        <v>0.69096394791274041</v>
      </c>
      <c r="E96" s="756">
        <f>PU!I71</f>
        <v>0.73841004971059654</v>
      </c>
      <c r="F96" s="756">
        <f>PU!J71</f>
        <v>0.86782187682666834</v>
      </c>
      <c r="G96" s="756">
        <f>PU!K71</f>
        <v>0.77779256443775691</v>
      </c>
      <c r="H96" s="756">
        <f>PU!L71</f>
        <v>0.75106623362005653</v>
      </c>
      <c r="I96" s="756">
        <f>PU!M71</f>
        <v>0.71546234399995945</v>
      </c>
      <c r="J96" s="757">
        <f>I96+$P96</f>
        <v>0.72746234399995946</v>
      </c>
      <c r="K96" s="757">
        <f t="shared" ref="K96:M96" si="23">J96+$P96</f>
        <v>0.73946234399995947</v>
      </c>
      <c r="L96" s="757">
        <f t="shared" si="23"/>
        <v>0.75146234399995948</v>
      </c>
      <c r="M96" s="757">
        <f t="shared" si="23"/>
        <v>0.76346234399995949</v>
      </c>
      <c r="N96" s="757">
        <f>M96+$P96</f>
        <v>0.7754623439999595</v>
      </c>
      <c r="P96" s="1316">
        <f>ROUND((H96-D96)/5,3)</f>
        <v>1.2E-2</v>
      </c>
      <c r="Q96" s="1316"/>
    </row>
    <row r="97" spans="1:14">
      <c r="C97" s="755"/>
      <c r="D97" s="755"/>
      <c r="E97" s="755"/>
      <c r="F97" s="755"/>
      <c r="G97" s="755"/>
      <c r="H97" s="755"/>
      <c r="I97" s="755"/>
    </row>
    <row r="98" spans="1:14">
      <c r="D98" s="755"/>
      <c r="E98" s="755"/>
      <c r="F98" s="755"/>
      <c r="G98" s="755"/>
      <c r="H98" s="755"/>
      <c r="I98" s="755"/>
      <c r="J98" s="7"/>
    </row>
    <row r="99" spans="1:14">
      <c r="A99" s="714">
        <v>9</v>
      </c>
      <c r="B99" s="715" t="s">
        <v>1385</v>
      </c>
      <c r="D99" s="755"/>
      <c r="E99" s="755"/>
      <c r="F99" s="755"/>
      <c r="G99" s="755"/>
      <c r="H99" s="755"/>
      <c r="I99" s="755"/>
      <c r="J99" s="1317"/>
      <c r="K99" s="1317"/>
      <c r="L99" s="1317"/>
      <c r="M99" s="1317"/>
      <c r="N99" s="1317"/>
    </row>
    <row r="100" spans="1:14">
      <c r="D100" s="755"/>
      <c r="E100" s="755"/>
      <c r="F100" s="755"/>
      <c r="G100" s="755"/>
      <c r="H100" s="755"/>
      <c r="I100" s="755"/>
      <c r="J100" s="7"/>
      <c r="K100" s="7"/>
      <c r="L100" s="7"/>
      <c r="M100" s="7"/>
      <c r="N100" s="7"/>
    </row>
    <row r="101" spans="1:14">
      <c r="C101" s="718">
        <v>2009</v>
      </c>
      <c r="D101" s="718">
        <v>2010</v>
      </c>
      <c r="E101" s="718">
        <v>2011</v>
      </c>
      <c r="F101" s="718">
        <v>2012</v>
      </c>
      <c r="G101" s="718">
        <v>2013</v>
      </c>
      <c r="H101" s="718">
        <v>2014</v>
      </c>
      <c r="I101" s="718">
        <v>2015</v>
      </c>
      <c r="J101" s="718">
        <v>2016</v>
      </c>
      <c r="K101" s="718">
        <v>2017</v>
      </c>
      <c r="L101" s="718">
        <v>2018</v>
      </c>
      <c r="M101" s="718">
        <v>2019</v>
      </c>
      <c r="N101" s="718">
        <v>2020</v>
      </c>
    </row>
    <row r="102" spans="1:14">
      <c r="B102" s="719" t="s">
        <v>788</v>
      </c>
      <c r="D102" s="758">
        <f t="shared" ref="D102:N102" si="24">D93*D69</f>
        <v>440384268.52014315</v>
      </c>
      <c r="E102" s="758">
        <f t="shared" si="24"/>
        <v>533162113.65655732</v>
      </c>
      <c r="F102" s="758">
        <f t="shared" si="24"/>
        <v>632374658.09838843</v>
      </c>
      <c r="G102" s="758">
        <f t="shared" si="24"/>
        <v>588979824.60590458</v>
      </c>
      <c r="H102" s="758">
        <f t="shared" si="24"/>
        <v>577211686.32993782</v>
      </c>
      <c r="I102" s="758">
        <f t="shared" si="24"/>
        <v>558752578.56074953</v>
      </c>
      <c r="J102" s="758">
        <f t="shared" si="24"/>
        <v>609962925.86699879</v>
      </c>
      <c r="K102" s="758">
        <f t="shared" si="24"/>
        <v>650806687.1311245</v>
      </c>
      <c r="L102" s="758">
        <f t="shared" si="24"/>
        <v>691946117.46225727</v>
      </c>
      <c r="M102" s="758">
        <f t="shared" si="24"/>
        <v>725099282.68508959</v>
      </c>
      <c r="N102" s="758">
        <f t="shared" si="24"/>
        <v>731352011.21193361</v>
      </c>
    </row>
    <row r="103" spans="1:14">
      <c r="B103" s="719" t="s">
        <v>789</v>
      </c>
      <c r="D103" s="758">
        <f t="shared" ref="D103:N103" si="25">D94*D70</f>
        <v>57673606.709994487</v>
      </c>
      <c r="E103" s="758">
        <f t="shared" si="25"/>
        <v>64101047.28013429</v>
      </c>
      <c r="F103" s="758">
        <f t="shared" si="25"/>
        <v>99373160.558318153</v>
      </c>
      <c r="G103" s="758">
        <f t="shared" si="25"/>
        <v>99475328.821653396</v>
      </c>
      <c r="H103" s="758">
        <f t="shared" si="25"/>
        <v>103336275.24678491</v>
      </c>
      <c r="I103" s="758">
        <f t="shared" si="25"/>
        <v>94445317.740977123</v>
      </c>
      <c r="J103" s="758">
        <f t="shared" si="25"/>
        <v>107609898.86056645</v>
      </c>
      <c r="K103" s="758">
        <f t="shared" si="25"/>
        <v>121577873.00486298</v>
      </c>
      <c r="L103" s="758">
        <f t="shared" si="25"/>
        <v>136123818.62417579</v>
      </c>
      <c r="M103" s="758">
        <f t="shared" si="25"/>
        <v>153393129.67585963</v>
      </c>
      <c r="N103" s="758">
        <f t="shared" si="25"/>
        <v>171616071.0249325</v>
      </c>
    </row>
    <row r="104" spans="1:14">
      <c r="B104" s="719" t="s">
        <v>790</v>
      </c>
      <c r="D104" s="758">
        <f t="shared" ref="D104:N104" si="26">D95*D71</f>
        <v>11036307.456850795</v>
      </c>
      <c r="E104" s="758">
        <f t="shared" si="26"/>
        <v>13347591.16247292</v>
      </c>
      <c r="F104" s="758">
        <f t="shared" si="26"/>
        <v>18067847.374239668</v>
      </c>
      <c r="G104" s="758">
        <f t="shared" si="26"/>
        <v>19322545.88622044</v>
      </c>
      <c r="H104" s="758">
        <f t="shared" si="26"/>
        <v>18393188.150722235</v>
      </c>
      <c r="I104" s="758">
        <f t="shared" si="26"/>
        <v>18478431.731930304</v>
      </c>
      <c r="J104" s="758">
        <f t="shared" si="26"/>
        <v>40792096.950721413</v>
      </c>
      <c r="K104" s="758">
        <f t="shared" si="26"/>
        <v>47877248.511952825</v>
      </c>
      <c r="L104" s="758">
        <f t="shared" si="26"/>
        <v>55026849.290632367</v>
      </c>
      <c r="M104" s="758">
        <f t="shared" si="26"/>
        <v>63325795.921377912</v>
      </c>
      <c r="N104" s="758">
        <f t="shared" si="26"/>
        <v>75441178.788907692</v>
      </c>
    </row>
    <row r="105" spans="1:14">
      <c r="A105" s="713"/>
      <c r="B105" s="719" t="s">
        <v>791</v>
      </c>
      <c r="D105" s="758">
        <f t="shared" ref="D105:N105" si="27">D96*D72</f>
        <v>38449071.139996327</v>
      </c>
      <c r="E105" s="758">
        <f t="shared" si="27"/>
        <v>44862736.962756202</v>
      </c>
      <c r="F105" s="758">
        <f t="shared" si="27"/>
        <v>54203542.122718997</v>
      </c>
      <c r="G105" s="758">
        <f t="shared" si="27"/>
        <v>49022014.563188896</v>
      </c>
      <c r="H105" s="758">
        <f t="shared" si="27"/>
        <v>46484602.780916192</v>
      </c>
      <c r="I105" s="758">
        <f t="shared" si="27"/>
        <v>46342733.549920447</v>
      </c>
      <c r="J105" s="758">
        <f t="shared" si="27"/>
        <v>48604354.021521151</v>
      </c>
      <c r="K105" s="758">
        <f t="shared" si="27"/>
        <v>50366287.509202063</v>
      </c>
      <c r="L105" s="758">
        <f t="shared" si="27"/>
        <v>52090279.372141235</v>
      </c>
      <c r="M105" s="758">
        <f t="shared" si="27"/>
        <v>53950810.357279256</v>
      </c>
      <c r="N105" s="758">
        <f t="shared" si="27"/>
        <v>56274500.805110581</v>
      </c>
    </row>
    <row r="106" spans="1:14">
      <c r="A106" s="713"/>
      <c r="B106" s="738" t="s">
        <v>783</v>
      </c>
      <c r="C106" s="738"/>
      <c r="D106" s="759">
        <f>SUM(D102:D105)</f>
        <v>547543253.82698476</v>
      </c>
      <c r="E106" s="759">
        <f t="shared" ref="E106:N106" si="28">SUM(E102:E105)</f>
        <v>655473489.06192076</v>
      </c>
      <c r="F106" s="759">
        <f t="shared" si="28"/>
        <v>804019208.1536653</v>
      </c>
      <c r="G106" s="759">
        <f t="shared" si="28"/>
        <v>756799713.87696731</v>
      </c>
      <c r="H106" s="759">
        <f t="shared" si="28"/>
        <v>745425752.50836122</v>
      </c>
      <c r="I106" s="759">
        <f t="shared" si="28"/>
        <v>718019061.58357739</v>
      </c>
      <c r="J106" s="759">
        <f t="shared" si="28"/>
        <v>806969275.69980788</v>
      </c>
      <c r="K106" s="759">
        <f t="shared" si="28"/>
        <v>870628096.1571424</v>
      </c>
      <c r="L106" s="759">
        <f t="shared" si="28"/>
        <v>935187064.74920666</v>
      </c>
      <c r="M106" s="759">
        <f t="shared" si="28"/>
        <v>995769018.63960648</v>
      </c>
      <c r="N106" s="759">
        <f t="shared" si="28"/>
        <v>1034683761.8308843</v>
      </c>
    </row>
    <row r="107" spans="1:14">
      <c r="A107" s="713"/>
      <c r="D107" s="734"/>
      <c r="E107" s="734">
        <f t="shared" ref="E107:G107" si="29">(E106-D106)/D106</f>
        <v>0.19711727700153583</v>
      </c>
      <c r="F107" s="734">
        <f t="shared" si="29"/>
        <v>0.22662353485010564</v>
      </c>
      <c r="G107" s="734">
        <f t="shared" si="29"/>
        <v>-5.8729311187890598E-2</v>
      </c>
      <c r="H107" s="734">
        <f>(H106-G106)/G106</f>
        <v>-1.502902440374753E-2</v>
      </c>
      <c r="I107" s="734">
        <f t="shared" ref="I107:N107" si="30">(I106-H106)/H106</f>
        <v>-3.6766493285964673E-2</v>
      </c>
      <c r="J107" s="734">
        <f t="shared" si="30"/>
        <v>0.12388280322259479</v>
      </c>
      <c r="K107" s="734">
        <f t="shared" si="30"/>
        <v>7.8886300103717416E-2</v>
      </c>
      <c r="L107" s="734">
        <f t="shared" si="30"/>
        <v>7.4152176890477706E-2</v>
      </c>
      <c r="M107" s="734">
        <f t="shared" si="30"/>
        <v>6.4780572971939412E-2</v>
      </c>
      <c r="N107" s="734">
        <f t="shared" si="30"/>
        <v>3.9080090325005458E-2</v>
      </c>
    </row>
    <row r="108" spans="1:14">
      <c r="D108" s="735"/>
      <c r="E108" s="735"/>
      <c r="F108" s="735"/>
      <c r="G108" s="735"/>
      <c r="H108" s="735"/>
      <c r="N108" s="1436">
        <f>(N106-J106)/J106/5</f>
        <v>5.643696556689877E-2</v>
      </c>
    </row>
    <row r="109" spans="1:14" ht="18" hidden="1" outlineLevel="1">
      <c r="A109" s="713"/>
      <c r="B109" s="1794" t="s">
        <v>806</v>
      </c>
      <c r="C109" s="1795"/>
      <c r="D109" s="1795"/>
      <c r="E109" s="1795"/>
      <c r="F109" s="1795"/>
      <c r="G109" s="1795"/>
      <c r="H109" s="1795"/>
      <c r="I109" s="1795"/>
      <c r="J109" s="1795"/>
      <c r="K109" s="1795"/>
      <c r="L109" s="1795"/>
      <c r="M109" s="1795"/>
      <c r="N109" s="1796"/>
    </row>
    <row r="110" spans="1:14" s="369" customFormat="1" ht="18" hidden="1" outlineLevel="1">
      <c r="B110" s="742"/>
      <c r="C110" s="743"/>
      <c r="D110" s="743"/>
      <c r="E110" s="743"/>
      <c r="F110" s="743"/>
      <c r="G110" s="743"/>
      <c r="H110" s="743"/>
      <c r="I110" s="743"/>
      <c r="J110" s="743"/>
      <c r="K110" s="743"/>
      <c r="L110" s="743"/>
      <c r="M110" s="743"/>
      <c r="N110" s="744"/>
    </row>
    <row r="111" spans="1:14" ht="23.25" hidden="1" customHeight="1" outlineLevel="1">
      <c r="A111" s="713"/>
      <c r="B111" s="717"/>
      <c r="C111" s="760">
        <f t="shared" ref="C111:N111" si="31">+C78</f>
        <v>2009</v>
      </c>
      <c r="D111" s="760">
        <f t="shared" si="31"/>
        <v>2010</v>
      </c>
      <c r="E111" s="760">
        <f t="shared" si="31"/>
        <v>2011</v>
      </c>
      <c r="F111" s="760">
        <f t="shared" si="31"/>
        <v>2012</v>
      </c>
      <c r="G111" s="760">
        <f t="shared" si="31"/>
        <v>2013</v>
      </c>
      <c r="H111" s="760">
        <f t="shared" si="31"/>
        <v>2014</v>
      </c>
      <c r="I111" s="761">
        <f t="shared" si="31"/>
        <v>2015</v>
      </c>
      <c r="J111" s="761">
        <f t="shared" si="31"/>
        <v>2016</v>
      </c>
      <c r="K111" s="761">
        <f t="shared" si="31"/>
        <v>2017</v>
      </c>
      <c r="L111" s="761">
        <f t="shared" si="31"/>
        <v>2018</v>
      </c>
      <c r="M111" s="761">
        <f t="shared" si="31"/>
        <v>2019</v>
      </c>
      <c r="N111" s="761">
        <f t="shared" si="31"/>
        <v>2020</v>
      </c>
    </row>
    <row r="112" spans="1:14" hidden="1" outlineLevel="1">
      <c r="A112" s="713"/>
      <c r="B112" s="762" t="s">
        <v>788</v>
      </c>
      <c r="C112" s="763" t="e">
        <f t="shared" ref="C112:H115" si="32">C79/C$107</f>
        <v>#DIV/0!</v>
      </c>
      <c r="D112" s="763" t="e">
        <f t="shared" si="32"/>
        <v>#DIV/0!</v>
      </c>
      <c r="E112" s="763">
        <f t="shared" si="32"/>
        <v>0.409122744170691</v>
      </c>
      <c r="F112" s="763">
        <f t="shared" si="32"/>
        <v>0.10976627783606192</v>
      </c>
      <c r="G112" s="763">
        <f t="shared" si="32"/>
        <v>0.24796999150092486</v>
      </c>
      <c r="H112" s="763">
        <f t="shared" si="32"/>
        <v>-0.98331899171496362</v>
      </c>
      <c r="I112" s="764">
        <f>+AVERAGE(F112:H112)</f>
        <v>-0.20852757412599229</v>
      </c>
      <c r="J112" s="764">
        <f t="shared" ref="J112:N115" si="33">+AVERAGE(G112:I112)</f>
        <v>-0.31462552478001038</v>
      </c>
      <c r="K112" s="764">
        <f t="shared" si="33"/>
        <v>-0.50215736354032214</v>
      </c>
      <c r="L112" s="764">
        <f t="shared" si="33"/>
        <v>-0.34177015414877499</v>
      </c>
      <c r="M112" s="764">
        <f t="shared" si="33"/>
        <v>-0.38618434748970248</v>
      </c>
      <c r="N112" s="764">
        <f t="shared" si="33"/>
        <v>-0.41003728839293324</v>
      </c>
    </row>
    <row r="113" spans="1:19" hidden="1" outlineLevel="1">
      <c r="A113" s="713"/>
      <c r="B113" s="762" t="s">
        <v>789</v>
      </c>
      <c r="C113" s="763" t="e">
        <f t="shared" si="32"/>
        <v>#DIV/0!</v>
      </c>
      <c r="D113" s="763" t="e">
        <f t="shared" si="32"/>
        <v>#DIV/0!</v>
      </c>
      <c r="E113" s="763">
        <f t="shared" si="32"/>
        <v>0.8320993802074802</v>
      </c>
      <c r="F113" s="763">
        <f t="shared" si="32"/>
        <v>0.90257816638834876</v>
      </c>
      <c r="G113" s="763">
        <f t="shared" si="32"/>
        <v>-0.80317324291180636</v>
      </c>
      <c r="H113" s="763">
        <f t="shared" si="32"/>
        <v>-4.6756375119564098</v>
      </c>
      <c r="I113" s="764">
        <f>+AVERAGE(F113:H113)</f>
        <v>-1.5254108628266225</v>
      </c>
      <c r="J113" s="764">
        <f t="shared" si="33"/>
        <v>-2.3347405392316127</v>
      </c>
      <c r="K113" s="764">
        <f t="shared" si="33"/>
        <v>-2.8452629713382152</v>
      </c>
      <c r="L113" s="764">
        <f t="shared" si="33"/>
        <v>-2.2351381244654838</v>
      </c>
      <c r="M113" s="764">
        <f t="shared" si="33"/>
        <v>-2.471713878345104</v>
      </c>
      <c r="N113" s="764">
        <f t="shared" si="33"/>
        <v>-2.5173716580496013</v>
      </c>
    </row>
    <row r="114" spans="1:19" hidden="1" outlineLevel="1">
      <c r="A114" s="713"/>
      <c r="B114" s="762" t="s">
        <v>790</v>
      </c>
      <c r="C114" s="763" t="e">
        <f t="shared" si="32"/>
        <v>#DIV/0!</v>
      </c>
      <c r="D114" s="763" t="e">
        <f t="shared" si="32"/>
        <v>#DIV/0!</v>
      </c>
      <c r="E114" s="763">
        <f t="shared" si="32"/>
        <v>0.84552033795276138</v>
      </c>
      <c r="F114" s="763">
        <f t="shared" si="32"/>
        <v>1.2607441054313451</v>
      </c>
      <c r="G114" s="763">
        <f t="shared" si="32"/>
        <v>-2.2703030332973722</v>
      </c>
      <c r="H114" s="763">
        <f t="shared" si="32"/>
        <v>3.9139952023164515</v>
      </c>
      <c r="I114" s="764">
        <f>+AVERAGE(F114:H114)</f>
        <v>0.96814542481680821</v>
      </c>
      <c r="J114" s="764">
        <f t="shared" si="33"/>
        <v>0.87061253127862914</v>
      </c>
      <c r="K114" s="764">
        <f t="shared" si="33"/>
        <v>1.9175843861372963</v>
      </c>
      <c r="L114" s="764">
        <f t="shared" si="33"/>
        <v>1.252114114077578</v>
      </c>
      <c r="M114" s="764">
        <f t="shared" si="33"/>
        <v>1.346770343831168</v>
      </c>
      <c r="N114" s="764">
        <f t="shared" si="33"/>
        <v>1.5054896146820143</v>
      </c>
    </row>
    <row r="115" spans="1:19" hidden="1" outlineLevel="1">
      <c r="A115" s="713"/>
      <c r="B115" s="762" t="s">
        <v>791</v>
      </c>
      <c r="C115" s="763" t="e">
        <f t="shared" si="32"/>
        <v>#DIV/0!</v>
      </c>
      <c r="D115" s="763" t="e">
        <f t="shared" si="32"/>
        <v>#DIV/0!</v>
      </c>
      <c r="E115" s="763">
        <f t="shared" si="32"/>
        <v>0.46589896172907186</v>
      </c>
      <c r="F115" s="763">
        <f t="shared" si="32"/>
        <v>0.12371787950494562</v>
      </c>
      <c r="G115" s="763">
        <f t="shared" si="32"/>
        <v>-0.15479338863390971</v>
      </c>
      <c r="H115" s="763">
        <f t="shared" si="32"/>
        <v>1.1988814133221486</v>
      </c>
      <c r="I115" s="764">
        <f>+AVERAGE(F115:H115)</f>
        <v>0.38926863473106149</v>
      </c>
      <c r="J115" s="764">
        <f t="shared" si="33"/>
        <v>0.47778555313976678</v>
      </c>
      <c r="K115" s="764">
        <f t="shared" si="33"/>
        <v>0.68864520039765897</v>
      </c>
      <c r="L115" s="764">
        <f t="shared" si="33"/>
        <v>0.51856646275616247</v>
      </c>
      <c r="M115" s="764">
        <f t="shared" si="33"/>
        <v>0.56166573876452952</v>
      </c>
      <c r="N115" s="764">
        <f t="shared" si="33"/>
        <v>0.58962580063945025</v>
      </c>
    </row>
    <row r="116" spans="1:19" s="369" customFormat="1" hidden="1" outlineLevel="1">
      <c r="B116" s="765"/>
      <c r="C116" s="766"/>
      <c r="D116" s="766"/>
      <c r="E116" s="766"/>
      <c r="F116" s="766"/>
      <c r="G116" s="766"/>
      <c r="H116" s="766"/>
      <c r="I116" s="765"/>
      <c r="J116" s="765"/>
      <c r="K116" s="765"/>
      <c r="L116" s="765"/>
      <c r="M116" s="765"/>
      <c r="N116" s="765"/>
    </row>
    <row r="117" spans="1:19" s="369" customFormat="1" ht="18" hidden="1" outlineLevel="1">
      <c r="B117" s="1794" t="s">
        <v>807</v>
      </c>
      <c r="C117" s="1795"/>
      <c r="D117" s="1795"/>
      <c r="E117" s="1795"/>
      <c r="F117" s="1795"/>
      <c r="G117" s="1795"/>
      <c r="H117" s="1795"/>
      <c r="I117" s="1795"/>
      <c r="J117" s="1795"/>
      <c r="K117" s="1795"/>
      <c r="L117" s="1795"/>
      <c r="M117" s="1795"/>
      <c r="N117" s="1796"/>
    </row>
    <row r="118" spans="1:19" s="369" customFormat="1" hidden="1" outlineLevel="1">
      <c r="B118" s="767"/>
      <c r="C118" s="766"/>
      <c r="D118" s="766"/>
      <c r="E118" s="766"/>
      <c r="F118" s="766"/>
      <c r="G118" s="766"/>
      <c r="H118" s="766"/>
      <c r="I118" s="765"/>
      <c r="J118" s="765"/>
      <c r="K118" s="765"/>
      <c r="L118" s="765"/>
      <c r="M118" s="765"/>
      <c r="N118" s="765"/>
    </row>
    <row r="119" spans="1:19" s="369" customFormat="1" collapsed="1">
      <c r="B119" s="768"/>
      <c r="C119" s="769">
        <v>2009</v>
      </c>
      <c r="D119" s="769">
        <v>2010</v>
      </c>
      <c r="E119" s="769">
        <v>2011</v>
      </c>
      <c r="F119" s="769">
        <v>2012</v>
      </c>
      <c r="G119" s="769">
        <v>2013</v>
      </c>
      <c r="H119" s="769">
        <v>2014</v>
      </c>
      <c r="I119" s="770">
        <v>2015</v>
      </c>
      <c r="J119" s="770" t="s">
        <v>808</v>
      </c>
      <c r="K119" s="770" t="s">
        <v>809</v>
      </c>
      <c r="L119" s="770" t="s">
        <v>810</v>
      </c>
      <c r="M119" s="770" t="s">
        <v>811</v>
      </c>
      <c r="N119" s="770" t="s">
        <v>812</v>
      </c>
      <c r="O119" s="771"/>
      <c r="P119" s="772"/>
      <c r="Q119" s="772"/>
      <c r="R119" s="772"/>
      <c r="S119" s="772"/>
    </row>
    <row r="120" spans="1:19" s="369" customFormat="1">
      <c r="B120" s="773" t="s">
        <v>813</v>
      </c>
      <c r="C120" s="774">
        <v>0.01</v>
      </c>
      <c r="D120" s="775">
        <v>8.5000000000000006E-2</v>
      </c>
      <c r="E120" s="775">
        <v>6.5500000000000003E-2</v>
      </c>
      <c r="F120" s="775">
        <v>6.0499999999999998E-2</v>
      </c>
      <c r="G120" s="775">
        <v>5.8000000000000003E-2</v>
      </c>
      <c r="H120" s="775">
        <v>2.4500000000000001E-2</v>
      </c>
      <c r="I120" s="776">
        <v>2.4500000000000001E-2</v>
      </c>
      <c r="J120" s="776">
        <v>2.7E-2</v>
      </c>
      <c r="K120" s="776">
        <v>0.03</v>
      </c>
      <c r="L120" s="776">
        <v>3.7999999999999999E-2</v>
      </c>
      <c r="M120" s="776">
        <v>3.1666666666666669E-2</v>
      </c>
      <c r="N120" s="776">
        <v>3.3222222222222229E-2</v>
      </c>
      <c r="O120" s="754"/>
      <c r="P120" s="754"/>
      <c r="Q120" s="754"/>
      <c r="R120" s="754"/>
      <c r="S120" s="754"/>
    </row>
    <row r="121" spans="1:19">
      <c r="I121" s="1526">
        <f>+(I106/D106)^(1/5)-1</f>
        <v>5.570726024298045E-2</v>
      </c>
      <c r="J121" s="739"/>
      <c r="K121" s="739"/>
      <c r="L121" s="739"/>
      <c r="M121" s="739"/>
      <c r="N121" s="1526">
        <f>+(N106/J106)^(1/4)-1</f>
        <v>6.4112778247708446E-2</v>
      </c>
    </row>
    <row r="122" spans="1:19">
      <c r="N122" s="794">
        <f>N121-I121</f>
        <v>8.4055180047279965E-3</v>
      </c>
    </row>
  </sheetData>
  <mergeCells count="2">
    <mergeCell ref="B109:N109"/>
    <mergeCell ref="B117:N117"/>
  </mergeCells>
  <pageMargins left="0.7" right="0.7" top="0.75" bottom="0.75" header="0.3" footer="0.3"/>
  <pageSetup orientation="portrait" horizontalDpi="1200" verticalDpi="1200"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F179"/>
  <sheetViews>
    <sheetView showGridLines="0" workbookViewId="0">
      <selection activeCell="A84" sqref="A84:C84"/>
    </sheetView>
  </sheetViews>
  <sheetFormatPr baseColWidth="10" defaultRowHeight="14.25"/>
  <cols>
    <col min="1" max="1" width="28" style="1500" customWidth="1"/>
    <col min="2" max="2" width="24.7109375" style="1500" customWidth="1"/>
    <col min="3" max="5" width="14.28515625" style="1500" customWidth="1"/>
    <col min="6" max="6" width="16.85546875" style="1500" customWidth="1"/>
    <col min="7" max="16384" width="11.42578125" style="1500"/>
  </cols>
  <sheetData>
    <row r="1" spans="1:2">
      <c r="A1" s="1496" t="s">
        <v>1862</v>
      </c>
      <c r="B1" s="1496" t="s">
        <v>1863</v>
      </c>
    </row>
    <row r="2" spans="1:2" ht="28.5">
      <c r="A2" s="1497" t="s">
        <v>1864</v>
      </c>
      <c r="B2" s="1498" t="s">
        <v>1865</v>
      </c>
    </row>
    <row r="3" spans="1:2" ht="42.75">
      <c r="A3" s="1497" t="s">
        <v>1866</v>
      </c>
      <c r="B3" s="1498" t="s">
        <v>1867</v>
      </c>
    </row>
    <row r="4" spans="1:2" ht="42.75">
      <c r="A4" s="1497" t="s">
        <v>1868</v>
      </c>
      <c r="B4" s="1498" t="s">
        <v>1869</v>
      </c>
    </row>
    <row r="5" spans="1:2" ht="42.75">
      <c r="A5" s="1497" t="s">
        <v>1870</v>
      </c>
      <c r="B5" s="1498" t="s">
        <v>1871</v>
      </c>
    </row>
    <row r="6" spans="1:2" ht="28.5">
      <c r="A6" s="1497" t="s">
        <v>1872</v>
      </c>
      <c r="B6" s="1499" t="s">
        <v>1873</v>
      </c>
    </row>
    <row r="8" spans="1:2">
      <c r="A8" s="1501" t="s">
        <v>1940</v>
      </c>
    </row>
    <row r="9" spans="1:2">
      <c r="A9" s="1501"/>
    </row>
    <row r="37" spans="1:6">
      <c r="A37" s="1501" t="s">
        <v>1942</v>
      </c>
    </row>
    <row r="39" spans="1:6" s="1520" customFormat="1">
      <c r="A39" s="1519" t="s">
        <v>1863</v>
      </c>
      <c r="B39" s="1519" t="s">
        <v>1865</v>
      </c>
      <c r="C39" s="1519" t="s">
        <v>1867</v>
      </c>
      <c r="D39" s="1519" t="s">
        <v>1869</v>
      </c>
      <c r="E39" s="1519" t="s">
        <v>1871</v>
      </c>
      <c r="F39" s="1519" t="s">
        <v>1873</v>
      </c>
    </row>
    <row r="40" spans="1:6">
      <c r="A40" s="1517" t="s">
        <v>1865</v>
      </c>
      <c r="B40" s="1518" t="s">
        <v>1874</v>
      </c>
      <c r="C40" s="1518" t="s">
        <v>1875</v>
      </c>
      <c r="D40" s="1518" t="s">
        <v>1876</v>
      </c>
      <c r="E40" s="1518" t="s">
        <v>1877</v>
      </c>
      <c r="F40" s="1498" t="s">
        <v>1878</v>
      </c>
    </row>
    <row r="41" spans="1:6">
      <c r="A41" s="1517" t="s">
        <v>1867</v>
      </c>
      <c r="B41" s="1518" t="s">
        <v>1875</v>
      </c>
      <c r="C41" s="1518" t="s">
        <v>1874</v>
      </c>
      <c r="D41" s="1518" t="s">
        <v>1879</v>
      </c>
      <c r="E41" s="1518" t="s">
        <v>1880</v>
      </c>
      <c r="F41" s="1498" t="s">
        <v>1881</v>
      </c>
    </row>
    <row r="42" spans="1:6">
      <c r="A42" s="1517" t="s">
        <v>1869</v>
      </c>
      <c r="B42" s="1518" t="s">
        <v>1876</v>
      </c>
      <c r="C42" s="1518" t="s">
        <v>1879</v>
      </c>
      <c r="D42" s="1518" t="s">
        <v>1874</v>
      </c>
      <c r="E42" s="1518" t="s">
        <v>1882</v>
      </c>
      <c r="F42" s="1498" t="s">
        <v>1883</v>
      </c>
    </row>
    <row r="43" spans="1:6">
      <c r="A43" s="1517" t="s">
        <v>1871</v>
      </c>
      <c r="B43" s="1518" t="s">
        <v>1877</v>
      </c>
      <c r="C43" s="1518" t="s">
        <v>1880</v>
      </c>
      <c r="D43" s="1518" t="s">
        <v>1882</v>
      </c>
      <c r="E43" s="1518" t="s">
        <v>1874</v>
      </c>
      <c r="F43" s="1498" t="s">
        <v>1884</v>
      </c>
    </row>
    <row r="44" spans="1:6">
      <c r="A44" s="1517" t="s">
        <v>1873</v>
      </c>
      <c r="B44" s="1498" t="s">
        <v>1878</v>
      </c>
      <c r="C44" s="1498" t="s">
        <v>1881</v>
      </c>
      <c r="D44" s="1498" t="s">
        <v>1883</v>
      </c>
      <c r="E44" s="1498" t="s">
        <v>1884</v>
      </c>
      <c r="F44" s="1498" t="s">
        <v>1874</v>
      </c>
    </row>
    <row r="47" spans="1:6">
      <c r="A47" s="1501" t="s">
        <v>1941</v>
      </c>
    </row>
    <row r="49" spans="1:5">
      <c r="A49" s="1502" t="s">
        <v>1885</v>
      </c>
      <c r="B49" s="1799" t="s">
        <v>1886</v>
      </c>
      <c r="C49" s="1799"/>
    </row>
    <row r="50" spans="1:5">
      <c r="A50" s="1502" t="s">
        <v>1887</v>
      </c>
      <c r="B50" s="1799" t="s">
        <v>1888</v>
      </c>
      <c r="C50" s="1799"/>
    </row>
    <row r="53" spans="1:5">
      <c r="A53" s="1798" t="s">
        <v>1889</v>
      </c>
      <c r="B53" s="1798"/>
      <c r="C53" s="1798"/>
      <c r="D53" s="1798"/>
      <c r="E53" s="1798"/>
    </row>
    <row r="54" spans="1:5">
      <c r="A54" s="1521"/>
      <c r="B54" s="1521"/>
      <c r="C54" s="1521"/>
      <c r="D54" s="1521"/>
      <c r="E54" s="1521"/>
    </row>
    <row r="55" spans="1:5" ht="15" customHeight="1">
      <c r="A55" s="1797" t="s">
        <v>1890</v>
      </c>
      <c r="B55" s="1797"/>
      <c r="C55" s="1797"/>
      <c r="D55" s="1797"/>
      <c r="E55" s="1495"/>
    </row>
    <row r="56" spans="1:5" ht="15" customHeight="1">
      <c r="A56" s="1797" t="s">
        <v>1891</v>
      </c>
      <c r="B56" s="1797"/>
      <c r="C56" s="1797"/>
      <c r="D56" s="1495"/>
      <c r="E56" s="1495"/>
    </row>
    <row r="57" spans="1:5" ht="15" customHeight="1">
      <c r="A57" s="1797" t="s">
        <v>1892</v>
      </c>
      <c r="B57" s="1797"/>
      <c r="C57" s="1797"/>
      <c r="D57" s="1495"/>
      <c r="E57" s="1495"/>
    </row>
    <row r="58" spans="1:5" ht="15" customHeight="1">
      <c r="A58" s="1797" t="s">
        <v>1893</v>
      </c>
      <c r="B58" s="1797"/>
      <c r="C58" s="1797"/>
      <c r="D58" s="1495"/>
      <c r="E58" s="1495"/>
    </row>
    <row r="59" spans="1:5" ht="15" customHeight="1">
      <c r="A59" s="1797" t="s">
        <v>1894</v>
      </c>
      <c r="B59" s="1797"/>
      <c r="C59" s="1797"/>
      <c r="D59" s="1797"/>
      <c r="E59" s="1495"/>
    </row>
    <row r="60" spans="1:5" ht="15" thickBot="1">
      <c r="A60" s="1504"/>
      <c r="B60" s="1504"/>
      <c r="C60" s="1504"/>
      <c r="D60" s="1504"/>
      <c r="E60" s="1504"/>
    </row>
    <row r="61" spans="1:5" ht="15" thickTop="1">
      <c r="A61" s="1495"/>
      <c r="B61" s="1495"/>
      <c r="C61" s="1495"/>
      <c r="D61" s="1495"/>
      <c r="E61" s="1495"/>
    </row>
    <row r="62" spans="1:5">
      <c r="A62" s="1495" t="s">
        <v>1863</v>
      </c>
      <c r="B62" s="1495" t="s">
        <v>1895</v>
      </c>
      <c r="C62" s="1495" t="s">
        <v>1896</v>
      </c>
      <c r="D62" s="1495" t="s">
        <v>1897</v>
      </c>
      <c r="E62" s="1495" t="s">
        <v>1898</v>
      </c>
    </row>
    <row r="63" spans="1:5" ht="15" thickBot="1">
      <c r="A63" s="1504"/>
      <c r="B63" s="1504"/>
      <c r="C63" s="1504"/>
      <c r="D63" s="1504"/>
      <c r="E63" s="1504"/>
    </row>
    <row r="64" spans="1:5" ht="15" thickTop="1">
      <c r="A64" s="1495" t="s">
        <v>1899</v>
      </c>
      <c r="B64" s="1495"/>
      <c r="C64" s="1495"/>
      <c r="D64" s="1495"/>
      <c r="E64" s="1495"/>
    </row>
    <row r="65" spans="1:5">
      <c r="A65" s="1495" t="s">
        <v>1900</v>
      </c>
      <c r="B65" s="1495">
        <v>1683.4290000000001</v>
      </c>
      <c r="C65" s="1495">
        <v>804.5806</v>
      </c>
      <c r="D65" s="1495">
        <v>2.0923060000000002</v>
      </c>
      <c r="E65" s="1495">
        <v>5.6599999999999998E-2</v>
      </c>
    </row>
    <row r="66" spans="1:5">
      <c r="A66" s="1495" t="s">
        <v>1901</v>
      </c>
      <c r="B66" s="1495">
        <v>0.28848000000000001</v>
      </c>
      <c r="C66" s="1495">
        <v>0.418267</v>
      </c>
      <c r="D66" s="1495">
        <v>0.68970399999999998</v>
      </c>
      <c r="E66" s="1495">
        <v>0.50249999999999995</v>
      </c>
    </row>
    <row r="67" spans="1:5">
      <c r="A67" s="1495" t="s">
        <v>1902</v>
      </c>
      <c r="B67" s="1495">
        <v>-121284.2</v>
      </c>
      <c r="C67" s="1495">
        <v>40366.39</v>
      </c>
      <c r="D67" s="1495">
        <v>-3.0045829999999998</v>
      </c>
      <c r="E67" s="1495">
        <v>1.01E-2</v>
      </c>
    </row>
    <row r="68" spans="1:5">
      <c r="A68" s="1495" t="s">
        <v>1903</v>
      </c>
      <c r="B68" s="1495">
        <v>65327.37</v>
      </c>
      <c r="C68" s="1495">
        <v>18168.62</v>
      </c>
      <c r="D68" s="1495">
        <v>3.5956160000000001</v>
      </c>
      <c r="E68" s="1495">
        <v>3.3E-3</v>
      </c>
    </row>
    <row r="69" spans="1:5" ht="15" thickBot="1">
      <c r="A69" s="1504"/>
      <c r="B69" s="1504"/>
      <c r="C69" s="1504"/>
      <c r="D69" s="1504"/>
      <c r="E69" s="1504"/>
    </row>
    <row r="70" spans="1:5" ht="15" thickTop="1">
      <c r="A70" s="1495"/>
      <c r="B70" s="1495"/>
      <c r="C70" s="1495"/>
      <c r="D70" s="1495"/>
      <c r="E70" s="1495"/>
    </row>
    <row r="71" spans="1:5" ht="15" customHeight="1">
      <c r="A71" s="1495" t="s">
        <v>1904</v>
      </c>
      <c r="B71" s="1495">
        <v>0.92681800000000003</v>
      </c>
      <c r="C71" s="1797" t="s">
        <v>1905</v>
      </c>
      <c r="D71" s="1797"/>
      <c r="E71" s="1495">
        <v>125771.8</v>
      </c>
    </row>
    <row r="72" spans="1:5" ht="15" customHeight="1">
      <c r="A72" s="1495" t="s">
        <v>1906</v>
      </c>
      <c r="B72" s="1495">
        <v>0.90993000000000002</v>
      </c>
      <c r="C72" s="1797" t="s">
        <v>1907</v>
      </c>
      <c r="D72" s="1797"/>
      <c r="E72" s="1495">
        <v>70552.12</v>
      </c>
    </row>
    <row r="73" spans="1:5" ht="15" customHeight="1">
      <c r="A73" s="1495" t="s">
        <v>1908</v>
      </c>
      <c r="B73" s="1495">
        <v>21173.91</v>
      </c>
      <c r="C73" s="1797" t="s">
        <v>1909</v>
      </c>
      <c r="D73" s="1797"/>
      <c r="E73" s="1495">
        <v>22.96125</v>
      </c>
    </row>
    <row r="74" spans="1:5" ht="15" customHeight="1">
      <c r="A74" s="1495" t="s">
        <v>1910</v>
      </c>
      <c r="B74" s="1505">
        <v>5830000000</v>
      </c>
      <c r="C74" s="1797" t="s">
        <v>1911</v>
      </c>
      <c r="D74" s="1797"/>
      <c r="E74" s="1495">
        <v>23.157299999999999</v>
      </c>
    </row>
    <row r="75" spans="1:5" ht="15" customHeight="1">
      <c r="A75" s="1495" t="s">
        <v>1912</v>
      </c>
      <c r="B75" s="1495">
        <v>-191.17060000000001</v>
      </c>
      <c r="C75" s="1797" t="s">
        <v>1913</v>
      </c>
      <c r="D75" s="1797"/>
      <c r="E75" s="1495">
        <v>22.980740000000001</v>
      </c>
    </row>
    <row r="76" spans="1:5" ht="15" customHeight="1">
      <c r="A76" s="1495" t="s">
        <v>1914</v>
      </c>
      <c r="B76" s="1495">
        <v>54.87961</v>
      </c>
      <c r="C76" s="1797" t="s">
        <v>1915</v>
      </c>
      <c r="D76" s="1797"/>
      <c r="E76" s="1495">
        <v>2.0173700000000001</v>
      </c>
    </row>
    <row r="77" spans="1:5">
      <c r="A77" s="1495" t="s">
        <v>1916</v>
      </c>
      <c r="B77" s="1495">
        <v>0</v>
      </c>
      <c r="C77" s="1495"/>
      <c r="D77" s="1495"/>
      <c r="E77" s="1495"/>
    </row>
    <row r="78" spans="1:5" ht="15" thickBot="1">
      <c r="A78" s="1504"/>
      <c r="B78" s="1504"/>
      <c r="C78" s="1504"/>
      <c r="D78" s="1504"/>
      <c r="E78" s="1504"/>
    </row>
    <row r="79" spans="1:5" ht="15" thickTop="1">
      <c r="A79" s="1495"/>
      <c r="B79" s="1495"/>
      <c r="C79" s="1495"/>
      <c r="D79" s="1495"/>
      <c r="E79" s="1495"/>
    </row>
    <row r="81" spans="1:5">
      <c r="A81" s="1798" t="s">
        <v>1917</v>
      </c>
      <c r="B81" s="1798"/>
      <c r="C81" s="1798"/>
      <c r="D81" s="1798"/>
      <c r="E81" s="1798"/>
    </row>
    <row r="82" spans="1:5">
      <c r="A82" s="1521"/>
      <c r="B82" s="1521"/>
      <c r="C82" s="1521"/>
      <c r="D82" s="1521"/>
      <c r="E82" s="1521"/>
    </row>
    <row r="83" spans="1:5" ht="15" customHeight="1">
      <c r="A83" s="1797" t="s">
        <v>1918</v>
      </c>
      <c r="B83" s="1797"/>
      <c r="C83" s="1797"/>
      <c r="D83" s="1495"/>
      <c r="E83" s="1495"/>
    </row>
    <row r="84" spans="1:5" ht="15" customHeight="1">
      <c r="A84" s="1797" t="s">
        <v>1891</v>
      </c>
      <c r="B84" s="1797"/>
      <c r="C84" s="1797"/>
      <c r="D84" s="1495"/>
      <c r="E84" s="1495"/>
    </row>
    <row r="85" spans="1:5" ht="15" customHeight="1">
      <c r="A85" s="1797" t="s">
        <v>1919</v>
      </c>
      <c r="B85" s="1797"/>
      <c r="C85" s="1797"/>
      <c r="D85" s="1495"/>
      <c r="E85" s="1495"/>
    </row>
    <row r="86" spans="1:5" ht="15" customHeight="1">
      <c r="A86" s="1797" t="s">
        <v>1920</v>
      </c>
      <c r="B86" s="1797"/>
      <c r="C86" s="1797"/>
      <c r="D86" s="1495"/>
      <c r="E86" s="1495"/>
    </row>
    <row r="87" spans="1:5" ht="15" customHeight="1">
      <c r="A87" s="1797" t="s">
        <v>1921</v>
      </c>
      <c r="B87" s="1797"/>
      <c r="C87" s="1797"/>
      <c r="D87" s="1797"/>
      <c r="E87" s="1495"/>
    </row>
    <row r="88" spans="1:5" ht="15" thickBot="1">
      <c r="A88" s="1504"/>
      <c r="B88" s="1504"/>
      <c r="C88" s="1504"/>
      <c r="D88" s="1504"/>
      <c r="E88" s="1504"/>
    </row>
    <row r="89" spans="1:5" ht="15" thickTop="1">
      <c r="A89" s="1495"/>
      <c r="B89" s="1495"/>
      <c r="C89" s="1495"/>
      <c r="D89" s="1495"/>
      <c r="E89" s="1495"/>
    </row>
    <row r="90" spans="1:5">
      <c r="A90" s="1506"/>
    </row>
    <row r="91" spans="1:5">
      <c r="A91" s="1495" t="s">
        <v>1863</v>
      </c>
      <c r="B91" s="1495" t="s">
        <v>1895</v>
      </c>
      <c r="C91" s="1495" t="s">
        <v>1896</v>
      </c>
      <c r="D91" s="1495" t="s">
        <v>1897</v>
      </c>
      <c r="E91" s="1495" t="s">
        <v>1898</v>
      </c>
    </row>
    <row r="92" spans="1:5" ht="15" thickBot="1">
      <c r="A92" s="1504"/>
      <c r="B92" s="1504"/>
      <c r="C92" s="1504"/>
      <c r="D92" s="1504"/>
      <c r="E92" s="1504"/>
    </row>
    <row r="93" spans="1:5" ht="15" thickTop="1">
      <c r="A93" s="1495"/>
      <c r="B93" s="1495"/>
      <c r="C93" s="1495"/>
      <c r="D93" s="1495"/>
      <c r="E93" s="1495"/>
    </row>
    <row r="94" spans="1:5">
      <c r="A94" s="1495" t="s">
        <v>1902</v>
      </c>
      <c r="B94" s="1495">
        <v>-204399.6</v>
      </c>
      <c r="C94" s="1495">
        <v>201650.7</v>
      </c>
      <c r="D94" s="1495">
        <v>-1.0136320000000001</v>
      </c>
      <c r="E94" s="1495">
        <v>0.32800000000000001</v>
      </c>
    </row>
    <row r="95" spans="1:5">
      <c r="A95" s="1495" t="s">
        <v>1900</v>
      </c>
      <c r="B95" s="1495">
        <v>6863.3530000000001</v>
      </c>
      <c r="C95" s="1495">
        <v>1285.9639999999999</v>
      </c>
      <c r="D95" s="1495">
        <v>5.3371279999999999</v>
      </c>
      <c r="E95" s="1495">
        <v>1E-4</v>
      </c>
    </row>
    <row r="96" spans="1:5">
      <c r="A96" s="1495" t="s">
        <v>1901</v>
      </c>
      <c r="B96" s="1495">
        <v>5.5161980000000002</v>
      </c>
      <c r="C96" s="1495">
        <v>2.11327</v>
      </c>
      <c r="D96" s="1495">
        <v>2.6102669999999999</v>
      </c>
      <c r="E96" s="1495">
        <v>2.06E-2</v>
      </c>
    </row>
    <row r="97" spans="1:5">
      <c r="A97" s="1495" t="s">
        <v>1903</v>
      </c>
      <c r="B97" s="1495">
        <v>127393.5</v>
      </c>
      <c r="C97" s="1495">
        <v>58652.66</v>
      </c>
      <c r="D97" s="1495">
        <v>2.171999</v>
      </c>
      <c r="E97" s="1495">
        <v>4.7500000000000001E-2</v>
      </c>
    </row>
    <row r="98" spans="1:5" ht="15" thickBot="1">
      <c r="A98" s="1504"/>
      <c r="B98" s="1504"/>
      <c r="C98" s="1504"/>
      <c r="D98" s="1504"/>
      <c r="E98" s="1504"/>
    </row>
    <row r="99" spans="1:5" ht="15" thickTop="1">
      <c r="A99" s="1495"/>
      <c r="B99" s="1495"/>
      <c r="C99" s="1495"/>
      <c r="D99" s="1495"/>
      <c r="E99" s="1495"/>
    </row>
    <row r="100" spans="1:5" ht="15" customHeight="1">
      <c r="A100" s="1495" t="s">
        <v>1904</v>
      </c>
      <c r="B100" s="1495">
        <v>0.97558</v>
      </c>
      <c r="C100" s="1797" t="s">
        <v>1905</v>
      </c>
      <c r="D100" s="1797"/>
      <c r="E100" s="1495">
        <v>1180647</v>
      </c>
    </row>
    <row r="101" spans="1:5" ht="15" customHeight="1">
      <c r="A101" s="1495" t="s">
        <v>1906</v>
      </c>
      <c r="B101" s="1495">
        <v>0.97034799999999999</v>
      </c>
      <c r="C101" s="1797" t="s">
        <v>1907</v>
      </c>
      <c r="D101" s="1797"/>
      <c r="E101" s="1495">
        <v>377603.9</v>
      </c>
    </row>
    <row r="102" spans="1:5" ht="15" customHeight="1">
      <c r="A102" s="1495" t="s">
        <v>1908</v>
      </c>
      <c r="B102" s="1495">
        <v>65023.01</v>
      </c>
      <c r="C102" s="1797" t="s">
        <v>1909</v>
      </c>
      <c r="D102" s="1797"/>
      <c r="E102" s="1495">
        <v>25.196000000000002</v>
      </c>
    </row>
    <row r="103" spans="1:5" ht="15" customHeight="1">
      <c r="A103" s="1495" t="s">
        <v>1910</v>
      </c>
      <c r="B103" s="1505">
        <v>59200000000</v>
      </c>
      <c r="C103" s="1797" t="s">
        <v>1911</v>
      </c>
      <c r="D103" s="1797"/>
      <c r="E103" s="1495">
        <v>25.39386</v>
      </c>
    </row>
    <row r="104" spans="1:5" ht="15" customHeight="1">
      <c r="A104" s="1495" t="s">
        <v>1912</v>
      </c>
      <c r="B104" s="1495">
        <v>-222.76400000000001</v>
      </c>
      <c r="C104" s="1797" t="s">
        <v>1913</v>
      </c>
      <c r="D104" s="1797"/>
      <c r="E104" s="1495">
        <v>25.223279999999999</v>
      </c>
    </row>
    <row r="105" spans="1:5" ht="15" customHeight="1">
      <c r="A105" s="1495" t="s">
        <v>1914</v>
      </c>
      <c r="B105" s="1495">
        <v>186.4359</v>
      </c>
      <c r="C105" s="1797" t="s">
        <v>1915</v>
      </c>
      <c r="D105" s="1797"/>
      <c r="E105" s="1495">
        <v>1.7416469999999999</v>
      </c>
    </row>
    <row r="106" spans="1:5">
      <c r="A106" s="1495" t="s">
        <v>1916</v>
      </c>
      <c r="B106" s="1495">
        <v>0</v>
      </c>
      <c r="C106" s="1495"/>
      <c r="D106" s="1495"/>
      <c r="E106" s="1495"/>
    </row>
    <row r="107" spans="1:5" ht="15" thickBot="1">
      <c r="A107" s="1504"/>
      <c r="B107" s="1504"/>
      <c r="C107" s="1504"/>
      <c r="D107" s="1504"/>
      <c r="E107" s="1504"/>
    </row>
    <row r="108" spans="1:5" ht="15" thickTop="1">
      <c r="A108" s="1495"/>
      <c r="B108" s="1495"/>
      <c r="C108" s="1495"/>
      <c r="D108" s="1495"/>
      <c r="E108" s="1495"/>
    </row>
    <row r="110" spans="1:5" ht="28.5">
      <c r="A110" s="1522" t="s">
        <v>1922</v>
      </c>
    </row>
    <row r="111" spans="1:5">
      <c r="A111" s="1503"/>
    </row>
    <row r="127" spans="1:5">
      <c r="A127" s="1798" t="s">
        <v>1923</v>
      </c>
      <c r="B127" s="1798"/>
      <c r="C127" s="1798"/>
      <c r="D127" s="1798"/>
      <c r="E127" s="1798"/>
    </row>
    <row r="128" spans="1:5">
      <c r="A128" s="1521"/>
      <c r="B128" s="1521"/>
      <c r="C128" s="1521"/>
      <c r="D128" s="1521"/>
      <c r="E128" s="1521"/>
    </row>
    <row r="129" spans="1:5" ht="15" customHeight="1">
      <c r="A129" s="1797" t="s">
        <v>1924</v>
      </c>
      <c r="B129" s="1797"/>
      <c r="C129" s="1797"/>
      <c r="D129" s="1495"/>
      <c r="E129" s="1495"/>
    </row>
    <row r="130" spans="1:5" ht="15" customHeight="1">
      <c r="A130" s="1797" t="s">
        <v>1891</v>
      </c>
      <c r="B130" s="1797"/>
      <c r="C130" s="1797"/>
      <c r="D130" s="1495"/>
      <c r="E130" s="1495"/>
    </row>
    <row r="131" spans="1:5" ht="15" customHeight="1">
      <c r="A131" s="1797" t="s">
        <v>1925</v>
      </c>
      <c r="B131" s="1797"/>
      <c r="C131" s="1797"/>
      <c r="D131" s="1495"/>
      <c r="E131" s="1495"/>
    </row>
    <row r="132" spans="1:5" ht="15" customHeight="1">
      <c r="A132" s="1797" t="s">
        <v>1926</v>
      </c>
      <c r="B132" s="1797"/>
      <c r="C132" s="1797"/>
      <c r="D132" s="1495"/>
      <c r="E132" s="1495"/>
    </row>
    <row r="133" spans="1:5" ht="15" customHeight="1">
      <c r="A133" s="1797" t="s">
        <v>1894</v>
      </c>
      <c r="B133" s="1797"/>
      <c r="C133" s="1797"/>
      <c r="D133" s="1797"/>
      <c r="E133" s="1495"/>
    </row>
    <row r="134" spans="1:5" ht="15" customHeight="1">
      <c r="A134" s="1797" t="s">
        <v>1927</v>
      </c>
      <c r="B134" s="1797"/>
      <c r="C134" s="1797"/>
      <c r="D134" s="1797"/>
      <c r="E134" s="1495"/>
    </row>
    <row r="135" spans="1:5" ht="15" thickBot="1">
      <c r="A135" s="1504"/>
      <c r="B135" s="1504"/>
      <c r="C135" s="1504"/>
      <c r="D135" s="1504"/>
      <c r="E135" s="1504"/>
    </row>
    <row r="136" spans="1:5" ht="15" thickTop="1">
      <c r="A136" s="1495"/>
      <c r="B136" s="1495"/>
      <c r="C136" s="1495"/>
      <c r="D136" s="1495"/>
      <c r="E136" s="1495"/>
    </row>
    <row r="137" spans="1:5">
      <c r="A137" s="1495" t="s">
        <v>1863</v>
      </c>
      <c r="B137" s="1495" t="s">
        <v>1895</v>
      </c>
      <c r="C137" s="1495" t="s">
        <v>1896</v>
      </c>
      <c r="D137" s="1495" t="s">
        <v>1897</v>
      </c>
      <c r="E137" s="1495" t="s">
        <v>1898</v>
      </c>
    </row>
    <row r="138" spans="1:5" ht="15" thickBot="1">
      <c r="A138" s="1504"/>
      <c r="B138" s="1504"/>
      <c r="C138" s="1504"/>
      <c r="D138" s="1504"/>
      <c r="E138" s="1504"/>
    </row>
    <row r="139" spans="1:5" ht="15" thickTop="1">
      <c r="A139" s="1495"/>
      <c r="B139" s="1495"/>
      <c r="C139" s="1495"/>
      <c r="D139" s="1495"/>
      <c r="E139" s="1495"/>
    </row>
    <row r="140" spans="1:5">
      <c r="A140" s="1495" t="s">
        <v>1902</v>
      </c>
      <c r="B140" s="1505">
        <v>-1340000000</v>
      </c>
      <c r="C140" s="1505">
        <v>222000000</v>
      </c>
      <c r="D140" s="1495">
        <v>-6.0307469999999999</v>
      </c>
      <c r="E140" s="1495">
        <v>1E-4</v>
      </c>
    </row>
    <row r="141" spans="1:5">
      <c r="A141" s="1495" t="s">
        <v>1928</v>
      </c>
      <c r="B141" s="1495">
        <v>2649.5650000000001</v>
      </c>
      <c r="C141" s="1495">
        <v>872.48779999999999</v>
      </c>
      <c r="D141" s="1495">
        <v>3.0367929999999999</v>
      </c>
      <c r="E141" s="1495">
        <v>1.03E-2</v>
      </c>
    </row>
    <row r="142" spans="1:5">
      <c r="A142" s="1495" t="s">
        <v>1929</v>
      </c>
      <c r="B142" s="1495">
        <v>9914370</v>
      </c>
      <c r="C142" s="1495">
        <v>2572649</v>
      </c>
      <c r="D142" s="1495">
        <v>3.8537590000000002</v>
      </c>
      <c r="E142" s="1495">
        <v>2.3E-3</v>
      </c>
    </row>
    <row r="143" spans="1:5">
      <c r="A143" s="1495" t="s">
        <v>1930</v>
      </c>
      <c r="B143" s="1495">
        <v>2613665</v>
      </c>
      <c r="C143" s="1495">
        <v>1393778</v>
      </c>
      <c r="D143" s="1495">
        <v>1.875238</v>
      </c>
      <c r="E143" s="1495">
        <v>8.5300000000000001E-2</v>
      </c>
    </row>
    <row r="144" spans="1:5">
      <c r="A144" s="1495" t="s">
        <v>1931</v>
      </c>
      <c r="B144" s="1495">
        <v>0.76489700000000005</v>
      </c>
      <c r="C144" s="1495">
        <v>2.7118E-2</v>
      </c>
      <c r="D144" s="1495">
        <v>28.206160000000001</v>
      </c>
      <c r="E144" s="1495">
        <v>0</v>
      </c>
    </row>
    <row r="145" spans="1:5" ht="15" thickBot="1">
      <c r="A145" s="1504"/>
      <c r="B145" s="1504"/>
      <c r="C145" s="1504"/>
      <c r="D145" s="1504"/>
      <c r="E145" s="1504"/>
    </row>
    <row r="146" spans="1:5" ht="15" thickTop="1">
      <c r="A146" s="1495"/>
      <c r="B146" s="1495"/>
      <c r="C146" s="1495"/>
      <c r="D146" s="1495"/>
      <c r="E146" s="1495"/>
    </row>
    <row r="147" spans="1:5" ht="15" customHeight="1">
      <c r="A147" s="1495" t="s">
        <v>1904</v>
      </c>
      <c r="B147" s="1495">
        <v>0.98868699999999998</v>
      </c>
      <c r="C147" s="1797" t="s">
        <v>1905</v>
      </c>
      <c r="D147" s="1797"/>
      <c r="E147" s="1505">
        <v>143000000</v>
      </c>
    </row>
    <row r="148" spans="1:5" ht="15" customHeight="1">
      <c r="A148" s="1495" t="s">
        <v>1906</v>
      </c>
      <c r="B148" s="1495">
        <v>0.98491600000000001</v>
      </c>
      <c r="C148" s="1797" t="s">
        <v>1907</v>
      </c>
      <c r="D148" s="1797"/>
      <c r="E148" s="1505">
        <v>152000000</v>
      </c>
    </row>
    <row r="149" spans="1:5" ht="15" customHeight="1">
      <c r="A149" s="1495" t="s">
        <v>1908</v>
      </c>
      <c r="B149" s="1495">
        <v>18679812</v>
      </c>
      <c r="C149" s="1797" t="s">
        <v>1909</v>
      </c>
      <c r="D149" s="1797"/>
      <c r="E149" s="1495">
        <v>36.56371</v>
      </c>
    </row>
    <row r="150" spans="1:5" ht="15" customHeight="1">
      <c r="A150" s="1495" t="s">
        <v>1910</v>
      </c>
      <c r="B150" s="1505">
        <v>4190000000000000</v>
      </c>
      <c r="C150" s="1797" t="s">
        <v>1911</v>
      </c>
      <c r="D150" s="1797"/>
      <c r="E150" s="1495">
        <v>36.808779999999999</v>
      </c>
    </row>
    <row r="151" spans="1:5" ht="15" customHeight="1">
      <c r="A151" s="1495" t="s">
        <v>1912</v>
      </c>
      <c r="B151" s="1495">
        <v>-305.79160000000002</v>
      </c>
      <c r="C151" s="1797" t="s">
        <v>1913</v>
      </c>
      <c r="D151" s="1797"/>
      <c r="E151" s="1495">
        <v>36.588070000000002</v>
      </c>
    </row>
    <row r="152" spans="1:5" ht="15" customHeight="1">
      <c r="A152" s="1495" t="s">
        <v>1914</v>
      </c>
      <c r="B152" s="1495">
        <v>262.17869999999999</v>
      </c>
      <c r="C152" s="1797" t="s">
        <v>1915</v>
      </c>
      <c r="D152" s="1797"/>
      <c r="E152" s="1495">
        <v>1.7150650000000001</v>
      </c>
    </row>
    <row r="153" spans="1:5">
      <c r="A153" s="1495" t="s">
        <v>1916</v>
      </c>
      <c r="B153" s="1495">
        <v>0</v>
      </c>
      <c r="C153" s="1495"/>
      <c r="D153" s="1495"/>
      <c r="E153" s="1495"/>
    </row>
    <row r="154" spans="1:5" ht="15" thickBot="1">
      <c r="A154" s="1504"/>
      <c r="B154" s="1504"/>
      <c r="C154" s="1504"/>
      <c r="D154" s="1504"/>
      <c r="E154" s="1504"/>
    </row>
    <row r="155" spans="1:5" ht="15" thickTop="1">
      <c r="A155" s="1495"/>
      <c r="B155" s="1495"/>
      <c r="C155" s="1495"/>
      <c r="D155" s="1495"/>
      <c r="E155" s="1495"/>
    </row>
    <row r="156" spans="1:5" ht="15" customHeight="1">
      <c r="A156" s="1495" t="s">
        <v>1932</v>
      </c>
      <c r="B156" s="1797" t="s">
        <v>1933</v>
      </c>
      <c r="C156" s="1797"/>
      <c r="D156" s="1495"/>
      <c r="E156" s="1495"/>
    </row>
    <row r="157" spans="1:5" ht="15" thickBot="1">
      <c r="A157" s="1504"/>
      <c r="B157" s="1504"/>
      <c r="C157" s="1504"/>
      <c r="D157" s="1504"/>
      <c r="E157" s="1504"/>
    </row>
    <row r="158" spans="1:5" ht="15" thickTop="1">
      <c r="A158" s="1495"/>
      <c r="B158" s="1495"/>
      <c r="C158" s="1495"/>
      <c r="D158" s="1495"/>
      <c r="E158" s="1495"/>
    </row>
    <row r="160" spans="1:5">
      <c r="A160" s="1798" t="s">
        <v>1934</v>
      </c>
      <c r="B160" s="1798"/>
      <c r="C160" s="1798"/>
      <c r="D160" s="1798"/>
      <c r="E160" s="1798"/>
    </row>
    <row r="161" spans="1:5" ht="15" thickBot="1">
      <c r="A161" s="1503"/>
    </row>
    <row r="162" spans="1:5" ht="15" thickBot="1">
      <c r="A162" s="1507"/>
      <c r="B162" s="1508">
        <v>2010</v>
      </c>
      <c r="C162" s="1508">
        <v>2011</v>
      </c>
      <c r="D162" s="1508">
        <v>2012</v>
      </c>
      <c r="E162" s="1509">
        <v>2013</v>
      </c>
    </row>
    <row r="163" spans="1:5" ht="15" thickBot="1">
      <c r="A163" s="1510" t="s">
        <v>1935</v>
      </c>
      <c r="B163" s="1511">
        <v>1592</v>
      </c>
      <c r="C163" s="1511">
        <v>1658</v>
      </c>
      <c r="D163" s="1511">
        <v>1772</v>
      </c>
      <c r="E163" s="1512">
        <v>1919</v>
      </c>
    </row>
    <row r="164" spans="1:5" ht="15" thickBot="1">
      <c r="A164" s="1510" t="s">
        <v>1936</v>
      </c>
      <c r="B164" s="1513">
        <v>7.0000000000000007E-2</v>
      </c>
      <c r="C164" s="1513">
        <v>0.03</v>
      </c>
      <c r="D164" s="1513">
        <v>-0.02</v>
      </c>
      <c r="E164" s="1514">
        <v>0.15</v>
      </c>
    </row>
    <row r="165" spans="1:5" ht="15" thickBot="1">
      <c r="A165" s="1510" t="s">
        <v>789</v>
      </c>
      <c r="B165" s="1511">
        <v>316463</v>
      </c>
      <c r="C165" s="1511">
        <v>388336</v>
      </c>
      <c r="D165" s="1511">
        <v>514842</v>
      </c>
      <c r="E165" s="1512">
        <v>529823</v>
      </c>
    </row>
    <row r="166" spans="1:5" ht="15" thickBot="1">
      <c r="A166" s="1510" t="s">
        <v>1936</v>
      </c>
      <c r="B166" s="1513">
        <v>0.22</v>
      </c>
      <c r="C166" s="1513">
        <v>0.23</v>
      </c>
      <c r="D166" s="1513">
        <v>0.33</v>
      </c>
      <c r="E166" s="1514">
        <v>0.03</v>
      </c>
    </row>
    <row r="167" spans="1:5" ht="15" thickBot="1">
      <c r="A167" s="1510"/>
      <c r="B167" s="1513"/>
      <c r="C167" s="1513"/>
      <c r="D167" s="1513"/>
      <c r="E167" s="1514"/>
    </row>
    <row r="168" spans="1:5" ht="15" thickBot="1">
      <c r="A168" s="1510"/>
      <c r="B168" s="1515">
        <v>2014</v>
      </c>
      <c r="C168" s="1515">
        <v>2015</v>
      </c>
      <c r="D168" s="1515">
        <v>2016</v>
      </c>
      <c r="E168" s="1516">
        <v>2017</v>
      </c>
    </row>
    <row r="169" spans="1:5" ht="15" thickBot="1">
      <c r="A169" s="1510" t="s">
        <v>1935</v>
      </c>
      <c r="B169" s="1511">
        <v>1953</v>
      </c>
      <c r="C169" s="1511">
        <v>2074</v>
      </c>
      <c r="D169" s="1511">
        <v>2192</v>
      </c>
      <c r="E169" s="1512">
        <v>2300</v>
      </c>
    </row>
    <row r="170" spans="1:5" ht="15" thickBot="1">
      <c r="A170" s="1510" t="s">
        <v>1936</v>
      </c>
      <c r="B170" s="1513">
        <v>0.02</v>
      </c>
      <c r="C170" s="1513">
        <v>0.06</v>
      </c>
      <c r="D170" s="1513">
        <v>0.06</v>
      </c>
      <c r="E170" s="1514">
        <v>0.05</v>
      </c>
    </row>
    <row r="171" spans="1:5" ht="15" thickBot="1">
      <c r="A171" s="1510" t="s">
        <v>789</v>
      </c>
      <c r="B171" s="1511">
        <v>602626</v>
      </c>
      <c r="C171" s="1511">
        <v>697608</v>
      </c>
      <c r="D171" s="1511">
        <v>772038</v>
      </c>
      <c r="E171" s="1512">
        <v>847918</v>
      </c>
    </row>
    <row r="172" spans="1:5" ht="15" thickBot="1">
      <c r="A172" s="1510"/>
      <c r="B172" s="1515">
        <v>2010</v>
      </c>
      <c r="C172" s="1515">
        <v>2011</v>
      </c>
      <c r="D172" s="1515">
        <v>2012</v>
      </c>
      <c r="E172" s="1516">
        <v>2013</v>
      </c>
    </row>
    <row r="173" spans="1:5" ht="15" thickBot="1">
      <c r="A173" s="1510" t="s">
        <v>1936</v>
      </c>
      <c r="B173" s="1513">
        <v>0.14000000000000001</v>
      </c>
      <c r="C173" s="1513">
        <v>0.16</v>
      </c>
      <c r="D173" s="1513">
        <v>0.11</v>
      </c>
      <c r="E173" s="1514">
        <v>0.1</v>
      </c>
    </row>
    <row r="174" spans="1:5" ht="15" thickBot="1">
      <c r="A174" s="1510"/>
      <c r="B174" s="1513"/>
      <c r="C174" s="1513"/>
      <c r="D174" s="1513"/>
      <c r="E174" s="1514"/>
    </row>
    <row r="175" spans="1:5" ht="15" thickBot="1">
      <c r="A175" s="1510"/>
      <c r="B175" s="1515">
        <v>2018</v>
      </c>
      <c r="C175" s="1515">
        <v>2019</v>
      </c>
      <c r="D175" s="1515">
        <v>2020</v>
      </c>
      <c r="E175" s="1514"/>
    </row>
    <row r="176" spans="1:5" ht="15" thickBot="1">
      <c r="A176" s="1510" t="s">
        <v>1935</v>
      </c>
      <c r="B176" s="1511">
        <v>2404</v>
      </c>
      <c r="C176" s="1511">
        <v>2498</v>
      </c>
      <c r="D176" s="1511">
        <v>2595</v>
      </c>
      <c r="E176" s="1514"/>
    </row>
    <row r="177" spans="1:5" ht="15" thickBot="1">
      <c r="A177" s="1510" t="s">
        <v>1936</v>
      </c>
      <c r="B177" s="1513">
        <v>0.05</v>
      </c>
      <c r="C177" s="1513">
        <v>0.04</v>
      </c>
      <c r="D177" s="1513">
        <v>0.04</v>
      </c>
      <c r="E177" s="1514"/>
    </row>
    <row r="178" spans="1:5" ht="15" thickBot="1">
      <c r="A178" s="1510" t="s">
        <v>789</v>
      </c>
      <c r="B178" s="1511">
        <v>923602</v>
      </c>
      <c r="C178" s="1513" t="s">
        <v>1937</v>
      </c>
      <c r="D178" s="1513" t="s">
        <v>1938</v>
      </c>
      <c r="E178" s="1514"/>
    </row>
    <row r="179" spans="1:5" ht="15" thickBot="1">
      <c r="A179" s="1510" t="s">
        <v>1936</v>
      </c>
      <c r="B179" s="1513">
        <v>0.09</v>
      </c>
      <c r="C179" s="1513">
        <v>0.1</v>
      </c>
      <c r="D179" s="1513" t="s">
        <v>1938</v>
      </c>
      <c r="E179" s="1514"/>
    </row>
  </sheetData>
  <mergeCells count="41">
    <mergeCell ref="A160:E160"/>
    <mergeCell ref="C71:D71"/>
    <mergeCell ref="B49:C49"/>
    <mergeCell ref="B50:C50"/>
    <mergeCell ref="A53:E53"/>
    <mergeCell ref="A81:E81"/>
    <mergeCell ref="A55:D55"/>
    <mergeCell ref="A56:C56"/>
    <mergeCell ref="A57:C57"/>
    <mergeCell ref="A58:C58"/>
    <mergeCell ref="A59:D59"/>
    <mergeCell ref="C101:D101"/>
    <mergeCell ref="C72:D72"/>
    <mergeCell ref="C73:D73"/>
    <mergeCell ref="C74:D74"/>
    <mergeCell ref="C75:D75"/>
    <mergeCell ref="C76:D76"/>
    <mergeCell ref="A83:C83"/>
    <mergeCell ref="A84:C84"/>
    <mergeCell ref="A85:C85"/>
    <mergeCell ref="A86:C86"/>
    <mergeCell ref="A87:D87"/>
    <mergeCell ref="C100:D100"/>
    <mergeCell ref="C148:D148"/>
    <mergeCell ref="C102:D102"/>
    <mergeCell ref="C103:D103"/>
    <mergeCell ref="C104:D104"/>
    <mergeCell ref="C105:D105"/>
    <mergeCell ref="A129:C129"/>
    <mergeCell ref="A130:C130"/>
    <mergeCell ref="A127:E127"/>
    <mergeCell ref="A131:C131"/>
    <mergeCell ref="A132:C132"/>
    <mergeCell ref="A133:D133"/>
    <mergeCell ref="A134:D134"/>
    <mergeCell ref="C147:D147"/>
    <mergeCell ref="C149:D149"/>
    <mergeCell ref="C150:D150"/>
    <mergeCell ref="C151:D151"/>
    <mergeCell ref="C152:D152"/>
    <mergeCell ref="B156:C156"/>
  </mergeCells>
  <pageMargins left="0.7" right="0.7" top="0.75" bottom="0.75" header="0.3" footer="0.3"/>
  <drawing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U30"/>
  <sheetViews>
    <sheetView showGridLines="0" zoomScale="90" zoomScaleNormal="90" workbookViewId="0">
      <selection activeCell="L16" sqref="L16"/>
    </sheetView>
  </sheetViews>
  <sheetFormatPr baseColWidth="10" defaultRowHeight="12.75"/>
  <cols>
    <col min="1" max="1" width="5.42578125" style="713" customWidth="1"/>
    <col min="2" max="2" width="20.140625" style="713" customWidth="1"/>
    <col min="3" max="12" width="11.42578125" style="713"/>
    <col min="13" max="13" width="12.140625" style="713" customWidth="1"/>
    <col min="14" max="24" width="11.42578125" style="713"/>
    <col min="25" max="25" width="12.85546875" style="713" bestFit="1" customWidth="1"/>
    <col min="26" max="16384" width="11.42578125" style="713"/>
  </cols>
  <sheetData>
    <row r="3" spans="2:21">
      <c r="B3" s="1800" t="s">
        <v>814</v>
      </c>
      <c r="C3" s="1801"/>
      <c r="D3" s="1801"/>
      <c r="E3" s="1802"/>
    </row>
    <row r="4" spans="2:21">
      <c r="B4" s="30"/>
      <c r="C4" s="777"/>
      <c r="D4" s="777"/>
      <c r="E4" s="778"/>
    </row>
    <row r="5" spans="2:21">
      <c r="B5" s="779" t="s">
        <v>815</v>
      </c>
      <c r="C5" s="777"/>
      <c r="D5" s="777"/>
      <c r="E5" s="778"/>
    </row>
    <row r="6" spans="2:21">
      <c r="B6" s="779" t="s">
        <v>816</v>
      </c>
      <c r="C6" s="777"/>
      <c r="D6" s="777"/>
      <c r="E6" s="778"/>
    </row>
    <row r="7" spans="2:21">
      <c r="B7" s="779"/>
      <c r="C7" s="777"/>
      <c r="D7" s="777"/>
      <c r="E7" s="778"/>
    </row>
    <row r="8" spans="2:21">
      <c r="B8" s="30" t="s">
        <v>817</v>
      </c>
      <c r="C8" s="777"/>
      <c r="D8" s="777"/>
      <c r="E8" s="778"/>
    </row>
    <row r="9" spans="2:21">
      <c r="B9" s="780" t="s">
        <v>818</v>
      </c>
      <c r="C9" s="31">
        <f>24*8* 0.0295735295625</f>
        <v>5.6781176759999994</v>
      </c>
      <c r="D9" s="781" t="s">
        <v>819</v>
      </c>
      <c r="E9" s="782"/>
    </row>
    <row r="10" spans="2:21">
      <c r="B10" s="783"/>
      <c r="C10" s="784"/>
      <c r="D10" s="784"/>
      <c r="E10" s="785"/>
    </row>
    <row r="13" spans="2:21" ht="15">
      <c r="B13" s="786" t="s">
        <v>820</v>
      </c>
      <c r="S13" s="787">
        <f>S20/R20-1</f>
        <v>2.3298143429195228E-2</v>
      </c>
      <c r="T13" s="787">
        <f>T20/S20-1</f>
        <v>4.0554962646744963E-2</v>
      </c>
    </row>
    <row r="14" spans="2:21" ht="15">
      <c r="B14" s="788"/>
      <c r="C14" s="789">
        <v>1998</v>
      </c>
      <c r="D14" s="789">
        <v>1999</v>
      </c>
      <c r="E14" s="789">
        <v>2000</v>
      </c>
      <c r="F14" s="789">
        <v>2001</v>
      </c>
      <c r="G14" s="789">
        <v>2002</v>
      </c>
      <c r="H14" s="789">
        <v>2003</v>
      </c>
      <c r="I14" s="789">
        <v>2004</v>
      </c>
      <c r="J14" s="789">
        <v>2005</v>
      </c>
      <c r="K14" s="789">
        <v>2006</v>
      </c>
      <c r="L14" s="789">
        <v>2007</v>
      </c>
      <c r="M14" s="789">
        <v>2008</v>
      </c>
      <c r="N14" s="789">
        <v>2009</v>
      </c>
      <c r="O14" s="789">
        <v>2010</v>
      </c>
      <c r="P14" s="789">
        <v>2011</v>
      </c>
      <c r="Q14" s="789">
        <v>2012</v>
      </c>
      <c r="R14" s="789">
        <v>2013</v>
      </c>
      <c r="S14" s="789">
        <v>2014</v>
      </c>
      <c r="T14" s="790">
        <v>2015</v>
      </c>
    </row>
    <row r="15" spans="2:21">
      <c r="B15" s="779" t="s">
        <v>821</v>
      </c>
      <c r="C15" s="791">
        <v>29.541</v>
      </c>
      <c r="D15" s="791">
        <v>29.978000000000002</v>
      </c>
      <c r="E15" s="791">
        <v>38.42</v>
      </c>
      <c r="F15" s="791">
        <v>40.478999999999999</v>
      </c>
      <c r="G15" s="791">
        <v>45.503999999999998</v>
      </c>
      <c r="H15" s="791">
        <v>50.119</v>
      </c>
      <c r="I15" s="791">
        <v>128.07900000000001</v>
      </c>
      <c r="J15" s="791">
        <v>130</v>
      </c>
      <c r="K15" s="791">
        <v>140</v>
      </c>
      <c r="L15" s="791">
        <v>152</v>
      </c>
      <c r="M15" s="791">
        <v>171</v>
      </c>
      <c r="N15" s="791">
        <v>181</v>
      </c>
      <c r="O15" s="791">
        <v>186</v>
      </c>
      <c r="P15" s="791">
        <v>201</v>
      </c>
      <c r="Q15" s="791">
        <v>206</v>
      </c>
      <c r="R15" s="791">
        <v>203</v>
      </c>
      <c r="S15" s="791">
        <v>206</v>
      </c>
      <c r="T15" s="792">
        <v>210.6</v>
      </c>
      <c r="U15" s="793"/>
    </row>
    <row r="16" spans="2:21">
      <c r="B16" s="779" t="s">
        <v>327</v>
      </c>
      <c r="C16" s="791"/>
      <c r="D16" s="791"/>
      <c r="E16" s="791"/>
      <c r="F16" s="791"/>
      <c r="G16" s="791">
        <v>0.20200000000000001</v>
      </c>
      <c r="H16" s="791">
        <v>0.64700000000000002</v>
      </c>
      <c r="I16" s="791">
        <v>12.057</v>
      </c>
      <c r="J16" s="791">
        <v>14.4</v>
      </c>
      <c r="K16" s="791">
        <v>17.3</v>
      </c>
      <c r="L16" s="791">
        <v>21</v>
      </c>
      <c r="M16" s="791">
        <v>28.5</v>
      </c>
      <c r="N16" s="791">
        <v>32.9</v>
      </c>
      <c r="O16" s="791">
        <v>37.799999999999997</v>
      </c>
      <c r="P16" s="791">
        <v>44</v>
      </c>
      <c r="Q16" s="791">
        <v>53</v>
      </c>
      <c r="R16" s="791">
        <v>55.5</v>
      </c>
      <c r="S16" s="791">
        <v>59.4</v>
      </c>
      <c r="T16" s="792">
        <v>61.424999999999997</v>
      </c>
      <c r="U16" s="793"/>
    </row>
    <row r="17" spans="2:21">
      <c r="B17" s="779" t="s">
        <v>822</v>
      </c>
      <c r="C17" s="791">
        <v>2.214</v>
      </c>
      <c r="D17" s="791">
        <v>2.0219999999999998</v>
      </c>
      <c r="E17" s="791">
        <v>2.0569999999999999</v>
      </c>
      <c r="F17" s="791">
        <v>2.1859999999999999</v>
      </c>
      <c r="G17" s="791">
        <v>3.016</v>
      </c>
      <c r="H17" s="791">
        <v>3.097</v>
      </c>
      <c r="I17" s="791">
        <f>3.314-0.4</f>
        <v>2.9140000000000001</v>
      </c>
      <c r="J17" s="791">
        <v>5</v>
      </c>
      <c r="K17" s="791">
        <v>6.3</v>
      </c>
      <c r="L17" s="791">
        <v>7.8</v>
      </c>
      <c r="M17" s="791">
        <v>10</v>
      </c>
      <c r="N17" s="791">
        <v>10.9</v>
      </c>
      <c r="O17" s="791">
        <v>9.8000000000000007</v>
      </c>
      <c r="P17" s="791">
        <v>10.7</v>
      </c>
      <c r="Q17" s="791">
        <v>11</v>
      </c>
      <c r="R17" s="791">
        <v>11.1</v>
      </c>
      <c r="S17" s="791">
        <v>10.9</v>
      </c>
      <c r="T17" s="792">
        <v>11.407500000000001</v>
      </c>
      <c r="U17" s="794"/>
    </row>
    <row r="18" spans="2:21">
      <c r="B18" s="779" t="s">
        <v>823</v>
      </c>
      <c r="C18" s="791"/>
      <c r="D18" s="791"/>
      <c r="E18" s="791"/>
      <c r="F18" s="791"/>
      <c r="G18" s="791"/>
      <c r="H18" s="791"/>
      <c r="I18" s="791">
        <v>0.4</v>
      </c>
      <c r="J18" s="791">
        <v>0.4</v>
      </c>
      <c r="K18" s="791">
        <v>1</v>
      </c>
      <c r="L18" s="791">
        <v>1</v>
      </c>
      <c r="M18" s="791">
        <v>1.4</v>
      </c>
      <c r="N18" s="791">
        <v>2.5</v>
      </c>
      <c r="O18" s="791">
        <v>3</v>
      </c>
      <c r="P18" s="791">
        <v>3.5</v>
      </c>
      <c r="Q18" s="791">
        <v>4.5</v>
      </c>
      <c r="R18" s="791">
        <v>5.0999999999999996</v>
      </c>
      <c r="S18" s="791">
        <v>4.8</v>
      </c>
      <c r="T18" s="792">
        <v>9.0675000000000008</v>
      </c>
      <c r="U18" s="794"/>
    </row>
    <row r="19" spans="2:21">
      <c r="B19" s="779"/>
      <c r="C19" s="791"/>
      <c r="D19" s="791"/>
      <c r="E19" s="791"/>
      <c r="F19" s="791"/>
      <c r="G19" s="791"/>
      <c r="H19" s="791"/>
      <c r="I19" s="791"/>
      <c r="J19" s="791"/>
      <c r="K19" s="791"/>
      <c r="L19" s="791"/>
      <c r="M19" s="791"/>
      <c r="N19" s="791"/>
      <c r="O19" s="791"/>
      <c r="P19" s="791"/>
      <c r="Q19" s="791"/>
      <c r="R19" s="791"/>
      <c r="S19" s="791"/>
      <c r="T19" s="792"/>
    </row>
    <row r="20" spans="2:21">
      <c r="B20" s="32" t="s">
        <v>783</v>
      </c>
      <c r="C20" s="33">
        <f t="shared" ref="C20:T20" si="0">SUM(C15:C19)</f>
        <v>31.754999999999999</v>
      </c>
      <c r="D20" s="33">
        <f t="shared" si="0"/>
        <v>32</v>
      </c>
      <c r="E20" s="33">
        <f t="shared" si="0"/>
        <v>40.477000000000004</v>
      </c>
      <c r="F20" s="33">
        <f t="shared" si="0"/>
        <v>42.664999999999999</v>
      </c>
      <c r="G20" s="33">
        <f t="shared" si="0"/>
        <v>48.721999999999994</v>
      </c>
      <c r="H20" s="33">
        <f t="shared" si="0"/>
        <v>53.863</v>
      </c>
      <c r="I20" s="33">
        <f t="shared" si="0"/>
        <v>143.44999999999999</v>
      </c>
      <c r="J20" s="33">
        <f t="shared" si="0"/>
        <v>149.80000000000001</v>
      </c>
      <c r="K20" s="33">
        <f t="shared" si="0"/>
        <v>164.60000000000002</v>
      </c>
      <c r="L20" s="33">
        <f t="shared" si="0"/>
        <v>181.8</v>
      </c>
      <c r="M20" s="33">
        <f t="shared" si="0"/>
        <v>210.9</v>
      </c>
      <c r="N20" s="33">
        <f t="shared" si="0"/>
        <v>227.3</v>
      </c>
      <c r="O20" s="33">
        <f t="shared" si="0"/>
        <v>236.60000000000002</v>
      </c>
      <c r="P20" s="33">
        <f t="shared" si="0"/>
        <v>259.2</v>
      </c>
      <c r="Q20" s="33">
        <f t="shared" si="0"/>
        <v>274.5</v>
      </c>
      <c r="R20" s="33">
        <f t="shared" si="0"/>
        <v>274.70000000000005</v>
      </c>
      <c r="S20" s="33">
        <f t="shared" si="0"/>
        <v>281.09999999999997</v>
      </c>
      <c r="T20" s="34">
        <f t="shared" si="0"/>
        <v>292.5</v>
      </c>
    </row>
    <row r="21" spans="2:21">
      <c r="B21" s="35" t="s">
        <v>1376</v>
      </c>
      <c r="C21" s="33">
        <v>31.754999999999999</v>
      </c>
      <c r="D21" s="33">
        <v>32</v>
      </c>
      <c r="E21" s="33"/>
      <c r="F21" s="33"/>
      <c r="G21" s="33">
        <v>48.722000000000001</v>
      </c>
      <c r="H21" s="33">
        <v>53.863</v>
      </c>
      <c r="I21" s="33">
        <v>143.44999999999999</v>
      </c>
      <c r="J21" s="33"/>
      <c r="K21" s="33"/>
      <c r="L21" s="33"/>
      <c r="M21" s="33"/>
      <c r="N21" s="33">
        <v>1293</v>
      </c>
      <c r="O21" s="33">
        <v>1342</v>
      </c>
      <c r="P21" s="33">
        <v>1472</v>
      </c>
      <c r="Q21" s="36">
        <v>1559</v>
      </c>
      <c r="R21" s="36">
        <v>1560</v>
      </c>
      <c r="S21" s="36">
        <v>1600</v>
      </c>
      <c r="T21" s="37">
        <v>1660</v>
      </c>
    </row>
    <row r="23" spans="2:21" ht="15">
      <c r="B23" s="786" t="s">
        <v>824</v>
      </c>
    </row>
    <row r="24" spans="2:21" ht="15">
      <c r="B24" s="788"/>
      <c r="C24" s="789">
        <v>1998</v>
      </c>
      <c r="D24" s="789">
        <v>1999</v>
      </c>
      <c r="E24" s="789">
        <v>2000</v>
      </c>
      <c r="F24" s="789">
        <v>2001</v>
      </c>
      <c r="G24" s="789">
        <v>2002</v>
      </c>
      <c r="H24" s="789">
        <v>2003</v>
      </c>
      <c r="I24" s="789">
        <v>2004</v>
      </c>
      <c r="J24" s="789">
        <v>2005</v>
      </c>
      <c r="K24" s="789">
        <v>2006</v>
      </c>
      <c r="L24" s="789">
        <v>2007</v>
      </c>
      <c r="M24" s="789">
        <v>2008</v>
      </c>
      <c r="N24" s="789">
        <v>2009</v>
      </c>
      <c r="O24" s="789">
        <v>2010</v>
      </c>
      <c r="P24" s="789">
        <v>2011</v>
      </c>
      <c r="Q24" s="789">
        <v>2012</v>
      </c>
      <c r="R24" s="789">
        <v>2013</v>
      </c>
      <c r="S24" s="789">
        <v>2014</v>
      </c>
      <c r="T24" s="795">
        <v>2015</v>
      </c>
    </row>
    <row r="25" spans="2:21">
      <c r="B25" s="779" t="s">
        <v>821</v>
      </c>
      <c r="C25" s="796">
        <f t="shared" ref="C25:T29" si="1">C15*$C$9</f>
        <v>167.73727426671599</v>
      </c>
      <c r="D25" s="796">
        <f t="shared" si="1"/>
        <v>170.21861169112799</v>
      </c>
      <c r="E25" s="796">
        <f t="shared" si="1"/>
        <v>218.15328111191999</v>
      </c>
      <c r="F25" s="796">
        <f t="shared" si="1"/>
        <v>229.84452540680397</v>
      </c>
      <c r="G25" s="796">
        <f t="shared" si="1"/>
        <v>258.37706672870394</v>
      </c>
      <c r="H25" s="796">
        <f t="shared" si="1"/>
        <v>284.58157980344396</v>
      </c>
      <c r="I25" s="796">
        <f t="shared" si="1"/>
        <v>727.24763382440392</v>
      </c>
      <c r="J25" s="796">
        <f t="shared" si="1"/>
        <v>738.15529787999992</v>
      </c>
      <c r="K25" s="796">
        <f t="shared" si="1"/>
        <v>794.93647463999991</v>
      </c>
      <c r="L25" s="796">
        <f t="shared" si="1"/>
        <v>863.07388675199991</v>
      </c>
      <c r="M25" s="796">
        <f t="shared" si="1"/>
        <v>970.95812259599984</v>
      </c>
      <c r="N25" s="796">
        <f t="shared" si="1"/>
        <v>1027.7392993559999</v>
      </c>
      <c r="O25" s="796">
        <f t="shared" si="1"/>
        <v>1056.129887736</v>
      </c>
      <c r="P25" s="796">
        <f t="shared" si="1"/>
        <v>1141.3016528759999</v>
      </c>
      <c r="Q25" s="796">
        <f t="shared" si="1"/>
        <v>1169.6922412559998</v>
      </c>
      <c r="R25" s="796">
        <f t="shared" si="1"/>
        <v>1152.6578882279998</v>
      </c>
      <c r="S25" s="796">
        <f t="shared" si="1"/>
        <v>1169.6922412559998</v>
      </c>
      <c r="T25" s="797">
        <f t="shared" si="1"/>
        <v>1195.8115825655998</v>
      </c>
    </row>
    <row r="26" spans="2:21">
      <c r="B26" s="779" t="s">
        <v>327</v>
      </c>
      <c r="C26" s="796">
        <f t="shared" si="1"/>
        <v>0</v>
      </c>
      <c r="D26" s="796">
        <f t="shared" si="1"/>
        <v>0</v>
      </c>
      <c r="E26" s="796">
        <f t="shared" si="1"/>
        <v>0</v>
      </c>
      <c r="F26" s="796">
        <f t="shared" si="1"/>
        <v>0</v>
      </c>
      <c r="G26" s="796">
        <f t="shared" si="1"/>
        <v>1.146979770552</v>
      </c>
      <c r="H26" s="796">
        <f t="shared" si="1"/>
        <v>3.6737421363719998</v>
      </c>
      <c r="I26" s="796">
        <f t="shared" si="1"/>
        <v>68.461064819531998</v>
      </c>
      <c r="J26" s="796">
        <f t="shared" si="1"/>
        <v>81.7648945344</v>
      </c>
      <c r="K26" s="796">
        <f t="shared" si="1"/>
        <v>98.231435794799992</v>
      </c>
      <c r="L26" s="796">
        <f t="shared" si="1"/>
        <v>119.24047119599999</v>
      </c>
      <c r="M26" s="796">
        <f t="shared" si="1"/>
        <v>161.82635376599998</v>
      </c>
      <c r="N26" s="796">
        <f t="shared" si="1"/>
        <v>186.81007154039997</v>
      </c>
      <c r="O26" s="796">
        <f t="shared" si="1"/>
        <v>214.63284815279997</v>
      </c>
      <c r="P26" s="796">
        <f t="shared" si="1"/>
        <v>249.83717774399997</v>
      </c>
      <c r="Q26" s="796">
        <f t="shared" si="1"/>
        <v>300.94023682799997</v>
      </c>
      <c r="R26" s="796">
        <f t="shared" si="1"/>
        <v>315.13553101799994</v>
      </c>
      <c r="S26" s="796">
        <f t="shared" si="1"/>
        <v>337.28018995439993</v>
      </c>
      <c r="T26" s="797">
        <f t="shared" si="1"/>
        <v>348.77837824829993</v>
      </c>
    </row>
    <row r="27" spans="2:21">
      <c r="B27" s="779" t="s">
        <v>822</v>
      </c>
      <c r="C27" s="796">
        <f t="shared" si="1"/>
        <v>12.571352534663998</v>
      </c>
      <c r="D27" s="796">
        <f t="shared" si="1"/>
        <v>11.481153940871998</v>
      </c>
      <c r="E27" s="796">
        <f t="shared" si="1"/>
        <v>11.679888059531999</v>
      </c>
      <c r="F27" s="796">
        <f t="shared" si="1"/>
        <v>12.412365239735998</v>
      </c>
      <c r="G27" s="796">
        <f t="shared" si="1"/>
        <v>17.125202910815997</v>
      </c>
      <c r="H27" s="796">
        <f t="shared" si="1"/>
        <v>17.585130442571998</v>
      </c>
      <c r="I27" s="796">
        <f t="shared" si="1"/>
        <v>16.546034907863998</v>
      </c>
      <c r="J27" s="796">
        <f t="shared" si="1"/>
        <v>28.390588379999997</v>
      </c>
      <c r="K27" s="796">
        <f t="shared" si="1"/>
        <v>35.772141358799992</v>
      </c>
      <c r="L27" s="796">
        <f t="shared" si="1"/>
        <v>44.289317872799991</v>
      </c>
      <c r="M27" s="796">
        <f t="shared" si="1"/>
        <v>56.781176759999994</v>
      </c>
      <c r="N27" s="796">
        <f t="shared" si="1"/>
        <v>61.891482668399995</v>
      </c>
      <c r="O27" s="796">
        <f t="shared" si="1"/>
        <v>55.645553224799997</v>
      </c>
      <c r="P27" s="796">
        <f t="shared" si="1"/>
        <v>60.755859133199991</v>
      </c>
      <c r="Q27" s="796">
        <f t="shared" si="1"/>
        <v>62.459294435999993</v>
      </c>
      <c r="R27" s="796">
        <f t="shared" si="1"/>
        <v>63.027106203599992</v>
      </c>
      <c r="S27" s="796">
        <f t="shared" si="1"/>
        <v>61.891482668399995</v>
      </c>
      <c r="T27" s="797">
        <f t="shared" si="1"/>
        <v>64.773127388969996</v>
      </c>
    </row>
    <row r="28" spans="2:21">
      <c r="B28" s="779" t="s">
        <v>823</v>
      </c>
      <c r="C28" s="796">
        <f t="shared" si="1"/>
        <v>0</v>
      </c>
      <c r="D28" s="796">
        <f t="shared" si="1"/>
        <v>0</v>
      </c>
      <c r="E28" s="796">
        <f t="shared" si="1"/>
        <v>0</v>
      </c>
      <c r="F28" s="796">
        <f t="shared" si="1"/>
        <v>0</v>
      </c>
      <c r="G28" s="796">
        <f t="shared" si="1"/>
        <v>0</v>
      </c>
      <c r="H28" s="796">
        <f t="shared" si="1"/>
        <v>0</v>
      </c>
      <c r="I28" s="796">
        <f t="shared" si="1"/>
        <v>2.2712470703999998</v>
      </c>
      <c r="J28" s="796">
        <f t="shared" si="1"/>
        <v>2.2712470703999998</v>
      </c>
      <c r="K28" s="796">
        <f t="shared" si="1"/>
        <v>5.6781176759999994</v>
      </c>
      <c r="L28" s="796">
        <f t="shared" si="1"/>
        <v>5.6781176759999994</v>
      </c>
      <c r="M28" s="796">
        <f t="shared" si="1"/>
        <v>7.9493647463999988</v>
      </c>
      <c r="N28" s="796">
        <f t="shared" si="1"/>
        <v>14.195294189999998</v>
      </c>
      <c r="O28" s="796">
        <f t="shared" si="1"/>
        <v>17.034353027999998</v>
      </c>
      <c r="P28" s="796">
        <f t="shared" si="1"/>
        <v>19.873411865999998</v>
      </c>
      <c r="Q28" s="796">
        <f t="shared" si="1"/>
        <v>25.551529541999997</v>
      </c>
      <c r="R28" s="796">
        <f t="shared" si="1"/>
        <v>28.958400147599995</v>
      </c>
      <c r="S28" s="796">
        <f t="shared" si="1"/>
        <v>27.254964844799996</v>
      </c>
      <c r="T28" s="797">
        <f t="shared" si="1"/>
        <v>51.486332027129997</v>
      </c>
    </row>
    <row r="29" spans="2:21">
      <c r="B29" s="779"/>
      <c r="C29" s="796">
        <f t="shared" si="1"/>
        <v>0</v>
      </c>
      <c r="D29" s="796">
        <f t="shared" si="1"/>
        <v>0</v>
      </c>
      <c r="E29" s="796">
        <f t="shared" si="1"/>
        <v>0</v>
      </c>
      <c r="F29" s="796">
        <f t="shared" si="1"/>
        <v>0</v>
      </c>
      <c r="G29" s="796">
        <f t="shared" si="1"/>
        <v>0</v>
      </c>
      <c r="H29" s="796">
        <f t="shared" si="1"/>
        <v>0</v>
      </c>
      <c r="I29" s="796">
        <f t="shared" si="1"/>
        <v>0</v>
      </c>
      <c r="J29" s="777"/>
      <c r="K29" s="777"/>
      <c r="L29" s="777"/>
      <c r="M29" s="777"/>
      <c r="N29" s="777"/>
      <c r="O29" s="777"/>
      <c r="P29" s="777"/>
      <c r="Q29" s="777"/>
      <c r="R29" s="777"/>
      <c r="S29" s="777"/>
      <c r="T29" s="785"/>
    </row>
    <row r="30" spans="2:21">
      <c r="B30" s="32" t="s">
        <v>783</v>
      </c>
      <c r="C30" s="38">
        <f t="shared" ref="C30:T30" si="2">SUM(C25:C29)</f>
        <v>180.30862680137997</v>
      </c>
      <c r="D30" s="38">
        <f t="shared" si="2"/>
        <v>181.69976563199998</v>
      </c>
      <c r="E30" s="38">
        <f t="shared" si="2"/>
        <v>229.833169171452</v>
      </c>
      <c r="F30" s="38">
        <f t="shared" si="2"/>
        <v>242.25689064653997</v>
      </c>
      <c r="G30" s="38">
        <f t="shared" si="2"/>
        <v>276.64924941007189</v>
      </c>
      <c r="H30" s="38">
        <f t="shared" si="2"/>
        <v>305.84045238238798</v>
      </c>
      <c r="I30" s="38">
        <f t="shared" si="2"/>
        <v>814.5259806222</v>
      </c>
      <c r="J30" s="38">
        <f t="shared" si="2"/>
        <v>850.58202786480001</v>
      </c>
      <c r="K30" s="38">
        <f t="shared" si="2"/>
        <v>934.61816946959993</v>
      </c>
      <c r="L30" s="38">
        <f t="shared" si="2"/>
        <v>1032.2817934968</v>
      </c>
      <c r="M30" s="38">
        <f t="shared" si="2"/>
        <v>1197.5150178683998</v>
      </c>
      <c r="N30" s="38">
        <f t="shared" si="2"/>
        <v>1290.6361477547998</v>
      </c>
      <c r="O30" s="38">
        <f t="shared" si="2"/>
        <v>1343.4426421415999</v>
      </c>
      <c r="P30" s="38">
        <f t="shared" si="2"/>
        <v>1471.7681016191998</v>
      </c>
      <c r="Q30" s="38">
        <f t="shared" si="2"/>
        <v>1558.6433020619997</v>
      </c>
      <c r="R30" s="38">
        <f t="shared" si="2"/>
        <v>1559.7789255971998</v>
      </c>
      <c r="S30" s="38">
        <f t="shared" si="2"/>
        <v>1596.1188787235997</v>
      </c>
      <c r="T30" s="39">
        <f t="shared" si="2"/>
        <v>1660.8494202299996</v>
      </c>
    </row>
  </sheetData>
  <mergeCells count="1">
    <mergeCell ref="B3:E3"/>
  </mergeCell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2:V95"/>
  <sheetViews>
    <sheetView showGridLines="0" zoomScale="90" zoomScaleNormal="90" workbookViewId="0">
      <pane ySplit="2" topLeftCell="A33" activePane="bottomLeft" state="frozen"/>
      <selection pane="bottomLeft" activeCell="M69" sqref="M69"/>
    </sheetView>
  </sheetViews>
  <sheetFormatPr baseColWidth="10" defaultRowHeight="12.75" outlineLevelRow="1"/>
  <cols>
    <col min="1" max="1" width="5" style="713" customWidth="1"/>
    <col min="2" max="2" width="15.5703125" style="713" customWidth="1"/>
    <col min="3" max="6" width="11.42578125" style="713"/>
    <col min="7" max="11" width="12.42578125" style="713" bestFit="1" customWidth="1"/>
    <col min="12" max="12" width="10" style="713" bestFit="1" customWidth="1"/>
    <col min="13" max="15" width="11.42578125" style="713"/>
    <col min="16" max="22" width="12.85546875" style="713" bestFit="1" customWidth="1"/>
    <col min="23" max="16384" width="11.42578125" style="713"/>
  </cols>
  <sheetData>
    <row r="2" spans="1:15" ht="18">
      <c r="B2" s="1187" t="s">
        <v>825</v>
      </c>
    </row>
    <row r="3" spans="1:15">
      <c r="B3" s="40"/>
    </row>
    <row r="4" spans="1:15" ht="15">
      <c r="B4" s="798" t="s">
        <v>826</v>
      </c>
      <c r="G4" s="787"/>
      <c r="H4" s="787"/>
      <c r="I4" s="787"/>
      <c r="J4" s="787"/>
      <c r="K4" s="787"/>
      <c r="L4" s="787"/>
      <c r="M4" s="787"/>
    </row>
    <row r="5" spans="1:15" ht="15">
      <c r="B5" s="788"/>
      <c r="C5" s="789">
        <v>2005</v>
      </c>
      <c r="D5" s="789">
        <v>2006</v>
      </c>
      <c r="E5" s="789">
        <v>2007</v>
      </c>
      <c r="F5" s="789">
        <v>2008</v>
      </c>
      <c r="G5" s="789">
        <v>2009</v>
      </c>
      <c r="H5" s="789">
        <v>2010</v>
      </c>
      <c r="I5" s="789">
        <v>2011</v>
      </c>
      <c r="J5" s="789">
        <v>2012</v>
      </c>
      <c r="K5" s="789">
        <v>2013</v>
      </c>
      <c r="L5" s="789">
        <v>2014</v>
      </c>
      <c r="M5" s="795">
        <v>2015</v>
      </c>
    </row>
    <row r="6" spans="1:15" ht="14.25">
      <c r="B6" s="779" t="s">
        <v>821</v>
      </c>
      <c r="C6" s="799">
        <v>760</v>
      </c>
      <c r="D6" s="799">
        <v>793</v>
      </c>
      <c r="E6" s="799">
        <v>891</v>
      </c>
      <c r="F6" s="799">
        <v>1041</v>
      </c>
      <c r="G6" s="799">
        <v>1163</v>
      </c>
      <c r="H6" s="799">
        <v>1237</v>
      </c>
      <c r="I6" s="799">
        <f>1407+31</f>
        <v>1438</v>
      </c>
      <c r="J6" s="799">
        <v>1610</v>
      </c>
      <c r="K6" s="799">
        <v>1646</v>
      </c>
      <c r="L6" s="799">
        <v>1726</v>
      </c>
      <c r="M6" s="778">
        <v>1905</v>
      </c>
    </row>
    <row r="7" spans="1:15" ht="14.25">
      <c r="B7" s="779" t="s">
        <v>327</v>
      </c>
      <c r="C7" s="799">
        <v>46</v>
      </c>
      <c r="D7" s="799">
        <v>59</v>
      </c>
      <c r="E7" s="799">
        <v>78</v>
      </c>
      <c r="F7" s="799">
        <v>103</v>
      </c>
      <c r="G7" s="799">
        <v>127</v>
      </c>
      <c r="H7" s="799">
        <v>162</v>
      </c>
      <c r="I7" s="799">
        <v>172.88795214021943</v>
      </c>
      <c r="J7" s="799">
        <v>253</v>
      </c>
      <c r="K7" s="799">
        <v>278</v>
      </c>
      <c r="L7" s="799">
        <v>309</v>
      </c>
      <c r="M7" s="778">
        <v>322</v>
      </c>
      <c r="O7" s="735"/>
    </row>
    <row r="8" spans="1:15" ht="14.25">
      <c r="B8" s="779" t="s">
        <v>822</v>
      </c>
      <c r="C8" s="799">
        <v>88</v>
      </c>
      <c r="D8" s="799">
        <v>59</v>
      </c>
      <c r="E8" s="799">
        <v>78</v>
      </c>
      <c r="F8" s="799">
        <v>100</v>
      </c>
      <c r="G8" s="799">
        <v>112</v>
      </c>
      <c r="H8" s="799">
        <v>108</v>
      </c>
      <c r="I8" s="799">
        <v>121</v>
      </c>
      <c r="J8" s="799">
        <v>138</v>
      </c>
      <c r="K8" s="799">
        <v>137</v>
      </c>
      <c r="L8" s="799">
        <v>139</v>
      </c>
      <c r="M8" s="778">
        <v>158</v>
      </c>
    </row>
    <row r="9" spans="1:15" ht="14.25">
      <c r="B9" s="779" t="s">
        <v>823</v>
      </c>
      <c r="C9" s="799">
        <v>4</v>
      </c>
      <c r="D9" s="799">
        <v>10</v>
      </c>
      <c r="E9" s="799">
        <v>9</v>
      </c>
      <c r="F9" s="799">
        <v>15</v>
      </c>
      <c r="G9" s="799">
        <v>27</v>
      </c>
      <c r="H9" s="799">
        <v>31</v>
      </c>
      <c r="I9" s="799">
        <v>36</v>
      </c>
      <c r="J9" s="799">
        <v>46</v>
      </c>
      <c r="K9" s="799">
        <v>54</v>
      </c>
      <c r="L9" s="799">
        <v>55</v>
      </c>
      <c r="M9" s="800">
        <v>63</v>
      </c>
    </row>
    <row r="10" spans="1:15" ht="14.25">
      <c r="B10" s="783"/>
      <c r="C10" s="801"/>
      <c r="D10" s="801"/>
      <c r="E10" s="801"/>
      <c r="F10" s="801"/>
      <c r="G10" s="801"/>
      <c r="H10" s="801"/>
      <c r="I10" s="801"/>
      <c r="J10" s="801"/>
      <c r="K10" s="801"/>
      <c r="L10" s="801"/>
      <c r="M10" s="785"/>
    </row>
    <row r="11" spans="1:15" ht="14.25">
      <c r="B11" s="32" t="s">
        <v>783</v>
      </c>
      <c r="C11" s="802">
        <f t="shared" ref="C11:M11" si="0">SUM(C6:C10)</f>
        <v>898</v>
      </c>
      <c r="D11" s="802">
        <f t="shared" si="0"/>
        <v>921</v>
      </c>
      <c r="E11" s="802">
        <f t="shared" si="0"/>
        <v>1056</v>
      </c>
      <c r="F11" s="802">
        <f t="shared" si="0"/>
        <v>1259</v>
      </c>
      <c r="G11" s="802">
        <f t="shared" si="0"/>
        <v>1429</v>
      </c>
      <c r="H11" s="802">
        <f t="shared" si="0"/>
        <v>1538</v>
      </c>
      <c r="I11" s="802">
        <f t="shared" si="0"/>
        <v>1767.8879521402193</v>
      </c>
      <c r="J11" s="802">
        <f t="shared" si="0"/>
        <v>2047</v>
      </c>
      <c r="K11" s="802">
        <f t="shared" si="0"/>
        <v>2115</v>
      </c>
      <c r="L11" s="802">
        <f t="shared" si="0"/>
        <v>2229</v>
      </c>
      <c r="M11" s="803">
        <f t="shared" si="0"/>
        <v>2448</v>
      </c>
    </row>
    <row r="12" spans="1:15" ht="14.25">
      <c r="A12" s="777"/>
      <c r="B12" s="41" t="s">
        <v>827</v>
      </c>
      <c r="F12" s="787"/>
      <c r="G12" s="787"/>
      <c r="H12" s="787"/>
      <c r="I12" s="787"/>
      <c r="J12" s="787"/>
      <c r="K12" s="787"/>
      <c r="L12" s="787"/>
      <c r="M12" s="777"/>
    </row>
    <row r="13" spans="1:15" ht="14.25">
      <c r="F13" s="787"/>
      <c r="G13" s="787"/>
      <c r="H13" s="787"/>
      <c r="I13" s="787"/>
      <c r="J13" s="787"/>
      <c r="K13" s="787"/>
      <c r="L13" s="787"/>
      <c r="M13" s="777"/>
    </row>
    <row r="14" spans="1:15" ht="15">
      <c r="B14" s="798" t="s">
        <v>828</v>
      </c>
      <c r="F14" s="787"/>
      <c r="G14" s="787"/>
      <c r="H14" s="787"/>
      <c r="I14" s="787"/>
      <c r="J14" s="787"/>
      <c r="K14" s="787"/>
      <c r="L14" s="787"/>
      <c r="M14" s="777"/>
    </row>
    <row r="15" spans="1:15" ht="15">
      <c r="B15" s="788"/>
      <c r="C15" s="789">
        <v>2005</v>
      </c>
      <c r="D15" s="789">
        <v>2006</v>
      </c>
      <c r="E15" s="789">
        <v>2007</v>
      </c>
      <c r="F15" s="789">
        <v>2008</v>
      </c>
      <c r="G15" s="789">
        <v>2009</v>
      </c>
      <c r="H15" s="789">
        <v>2010</v>
      </c>
      <c r="I15" s="789">
        <v>2011</v>
      </c>
      <c r="J15" s="789">
        <v>2012</v>
      </c>
      <c r="K15" s="789">
        <v>2013</v>
      </c>
      <c r="L15" s="789">
        <v>2014</v>
      </c>
      <c r="M15" s="804">
        <v>2015</v>
      </c>
    </row>
    <row r="16" spans="1:15" ht="14.25">
      <c r="B16" s="779" t="s">
        <v>821</v>
      </c>
      <c r="C16" s="805">
        <f t="shared" ref="C16:M19" si="1">C6/C$11</f>
        <v>0.84632516703786187</v>
      </c>
      <c r="D16" s="805">
        <f t="shared" si="1"/>
        <v>0.86102062975027149</v>
      </c>
      <c r="E16" s="805">
        <f t="shared" si="1"/>
        <v>0.84375</v>
      </c>
      <c r="F16" s="805">
        <f t="shared" si="1"/>
        <v>0.82684670373312152</v>
      </c>
      <c r="G16" s="805">
        <f t="shared" si="1"/>
        <v>0.81385584324702587</v>
      </c>
      <c r="H16" s="805">
        <f t="shared" si="1"/>
        <v>0.80429128738621591</v>
      </c>
      <c r="I16" s="805">
        <f t="shared" si="1"/>
        <v>0.81339996590798957</v>
      </c>
      <c r="J16" s="805">
        <f t="shared" si="1"/>
        <v>0.7865168539325843</v>
      </c>
      <c r="K16" s="805">
        <f t="shared" si="1"/>
        <v>0.77825059101654848</v>
      </c>
      <c r="L16" s="805">
        <f>L6/L$11</f>
        <v>0.77433826828174068</v>
      </c>
      <c r="M16" s="806">
        <f>M6/M$11</f>
        <v>0.77818627450980393</v>
      </c>
    </row>
    <row r="17" spans="2:22" ht="14.25">
      <c r="B17" s="779" t="s">
        <v>327</v>
      </c>
      <c r="C17" s="807">
        <f t="shared" si="1"/>
        <v>5.1224944320712694E-2</v>
      </c>
      <c r="D17" s="807">
        <f t="shared" si="1"/>
        <v>6.4060803474484257E-2</v>
      </c>
      <c r="E17" s="807">
        <f t="shared" si="1"/>
        <v>7.3863636363636367E-2</v>
      </c>
      <c r="F17" s="807">
        <f t="shared" si="1"/>
        <v>8.18109610802224E-2</v>
      </c>
      <c r="G17" s="807">
        <f t="shared" si="1"/>
        <v>8.8873337998600421E-2</v>
      </c>
      <c r="H17" s="807">
        <f t="shared" si="1"/>
        <v>0.10533159947984395</v>
      </c>
      <c r="I17" s="807">
        <f t="shared" si="1"/>
        <v>9.7793500957410726E-2</v>
      </c>
      <c r="J17" s="807">
        <f t="shared" si="1"/>
        <v>0.12359550561797752</v>
      </c>
      <c r="K17" s="807">
        <f t="shared" si="1"/>
        <v>0.13144208037825059</v>
      </c>
      <c r="L17" s="807">
        <f>L7/L$11</f>
        <v>0.1386271870794078</v>
      </c>
      <c r="M17" s="808">
        <f>M7/M$11</f>
        <v>0.13153594771241831</v>
      </c>
    </row>
    <row r="18" spans="2:22" ht="14.25">
      <c r="B18" s="779" t="s">
        <v>822</v>
      </c>
      <c r="C18" s="807">
        <f t="shared" si="1"/>
        <v>9.7995545657015584E-2</v>
      </c>
      <c r="D18" s="807">
        <f t="shared" si="1"/>
        <v>6.4060803474484257E-2</v>
      </c>
      <c r="E18" s="807">
        <f t="shared" si="1"/>
        <v>7.3863636363636367E-2</v>
      </c>
      <c r="F18" s="807">
        <f t="shared" si="1"/>
        <v>7.9428117553613981E-2</v>
      </c>
      <c r="G18" s="807">
        <f t="shared" si="1"/>
        <v>7.8376487053883837E-2</v>
      </c>
      <c r="H18" s="807">
        <f t="shared" si="1"/>
        <v>7.0221066319895969E-2</v>
      </c>
      <c r="I18" s="807">
        <f t="shared" si="1"/>
        <v>6.8443251651506776E-2</v>
      </c>
      <c r="J18" s="807">
        <f t="shared" si="1"/>
        <v>6.741573033707865E-2</v>
      </c>
      <c r="K18" s="807">
        <f t="shared" si="1"/>
        <v>6.4775413711583921E-2</v>
      </c>
      <c r="L18" s="807">
        <f t="shared" si="1"/>
        <v>6.2359802602063703E-2</v>
      </c>
      <c r="M18" s="808">
        <f t="shared" si="1"/>
        <v>6.4542483660130726E-2</v>
      </c>
    </row>
    <row r="19" spans="2:22" ht="14.25">
      <c r="B19" s="779" t="s">
        <v>823</v>
      </c>
      <c r="C19" s="807">
        <f t="shared" si="1"/>
        <v>4.4543429844097994E-3</v>
      </c>
      <c r="D19" s="807">
        <f t="shared" si="1"/>
        <v>1.0857763300760043E-2</v>
      </c>
      <c r="E19" s="807">
        <f t="shared" si="1"/>
        <v>8.5227272727272721E-3</v>
      </c>
      <c r="F19" s="807">
        <f t="shared" si="1"/>
        <v>1.1914217633042097E-2</v>
      </c>
      <c r="G19" s="807">
        <f t="shared" si="1"/>
        <v>1.8894331700489854E-2</v>
      </c>
      <c r="H19" s="807">
        <f t="shared" si="1"/>
        <v>2.0156046814044214E-2</v>
      </c>
      <c r="I19" s="807">
        <f t="shared" si="1"/>
        <v>2.0363281483092924E-2</v>
      </c>
      <c r="J19" s="807">
        <f t="shared" si="1"/>
        <v>2.247191011235955E-2</v>
      </c>
      <c r="K19" s="807">
        <f t="shared" si="1"/>
        <v>2.553191489361702E-2</v>
      </c>
      <c r="L19" s="807">
        <f t="shared" si="1"/>
        <v>2.4674742036787798E-2</v>
      </c>
      <c r="M19" s="808">
        <f t="shared" si="1"/>
        <v>2.5735294117647058E-2</v>
      </c>
    </row>
    <row r="20" spans="2:22" ht="14.25">
      <c r="B20" s="779"/>
      <c r="C20" s="799"/>
      <c r="D20" s="799"/>
      <c r="E20" s="799"/>
      <c r="F20" s="799"/>
      <c r="G20" s="799"/>
      <c r="H20" s="799"/>
      <c r="I20" s="799"/>
      <c r="J20" s="799"/>
      <c r="K20" s="799"/>
      <c r="L20" s="799"/>
      <c r="M20" s="809"/>
    </row>
    <row r="21" spans="2:22" ht="14.25">
      <c r="B21" s="32" t="s">
        <v>783</v>
      </c>
      <c r="C21" s="810">
        <f t="shared" ref="C21:M21" si="2">SUM(C16:C20)</f>
        <v>1</v>
      </c>
      <c r="D21" s="810">
        <f t="shared" si="2"/>
        <v>1</v>
      </c>
      <c r="E21" s="810">
        <f t="shared" si="2"/>
        <v>1</v>
      </c>
      <c r="F21" s="810">
        <f t="shared" si="2"/>
        <v>1</v>
      </c>
      <c r="G21" s="810">
        <f t="shared" si="2"/>
        <v>0.99999999999999989</v>
      </c>
      <c r="H21" s="810">
        <f t="shared" si="2"/>
        <v>1</v>
      </c>
      <c r="I21" s="810">
        <f t="shared" si="2"/>
        <v>1</v>
      </c>
      <c r="J21" s="810">
        <f t="shared" si="2"/>
        <v>1</v>
      </c>
      <c r="K21" s="810">
        <f t="shared" si="2"/>
        <v>1</v>
      </c>
      <c r="L21" s="810">
        <f t="shared" si="2"/>
        <v>1</v>
      </c>
      <c r="M21" s="811">
        <f t="shared" si="2"/>
        <v>1</v>
      </c>
    </row>
    <row r="22" spans="2:22" ht="14.25">
      <c r="B22" s="42"/>
      <c r="C22" s="799"/>
      <c r="D22" s="799"/>
      <c r="E22" s="799"/>
      <c r="F22" s="799"/>
      <c r="G22" s="799"/>
      <c r="H22" s="799"/>
      <c r="I22" s="799"/>
      <c r="J22" s="799"/>
      <c r="K22" s="799"/>
      <c r="L22" s="799"/>
    </row>
    <row r="23" spans="2:22" ht="15">
      <c r="B23" s="798" t="s">
        <v>1383</v>
      </c>
      <c r="C23" s="799"/>
      <c r="D23" s="799"/>
      <c r="E23" s="799"/>
      <c r="F23" s="799"/>
      <c r="G23" s="799"/>
      <c r="H23" s="799"/>
      <c r="I23" s="799"/>
      <c r="J23" s="799"/>
      <c r="K23" s="799"/>
      <c r="L23" s="799"/>
      <c r="M23" s="777"/>
    </row>
    <row r="24" spans="2:22" ht="15">
      <c r="B24" s="812"/>
      <c r="C24" s="813">
        <v>2015</v>
      </c>
      <c r="D24" s="789">
        <v>2006</v>
      </c>
      <c r="E24" s="789">
        <v>2007</v>
      </c>
      <c r="F24" s="789">
        <v>2008</v>
      </c>
      <c r="G24" s="813">
        <v>2009</v>
      </c>
      <c r="H24" s="813">
        <v>2010</v>
      </c>
      <c r="I24" s="813">
        <v>2011</v>
      </c>
      <c r="J24" s="813">
        <v>2012</v>
      </c>
      <c r="K24" s="813">
        <v>2013</v>
      </c>
      <c r="L24" s="813">
        <v>2014</v>
      </c>
      <c r="M24" s="814">
        <v>2015</v>
      </c>
    </row>
    <row r="25" spans="2:22">
      <c r="B25" s="815" t="s">
        <v>325</v>
      </c>
      <c r="C25" s="816"/>
      <c r="D25" s="375"/>
      <c r="E25" s="375"/>
      <c r="F25" s="375"/>
      <c r="G25" s="816">
        <f>ER!Q6</f>
        <v>471218.95537876169</v>
      </c>
      <c r="H25" s="816">
        <f>ER!P6</f>
        <v>518819.1527233891</v>
      </c>
      <c r="I25" s="816">
        <f>ER!O6</f>
        <v>609186.13274008152</v>
      </c>
      <c r="J25" s="290">
        <f>ER!N6</f>
        <v>738996.86397491174</v>
      </c>
      <c r="K25" s="290">
        <f>ER!M6</f>
        <v>699553.6480686696</v>
      </c>
      <c r="L25" s="816">
        <f>ER!L6</f>
        <v>677178.26086956519</v>
      </c>
      <c r="M25" s="817">
        <f>ER!K6</f>
        <v>631469.20821114362</v>
      </c>
    </row>
    <row r="26" spans="2:22">
      <c r="B26" s="815" t="s">
        <v>327</v>
      </c>
      <c r="C26" s="816"/>
      <c r="D26" s="375"/>
      <c r="E26" s="375"/>
      <c r="F26" s="375"/>
      <c r="G26" s="816">
        <f>ER!Q7</f>
        <v>53875.129712902111</v>
      </c>
      <c r="H26" s="816">
        <f>ER!P7</f>
        <v>70112.851548593797</v>
      </c>
      <c r="I26" s="816">
        <f>ER!O7</f>
        <v>73363.366703744905</v>
      </c>
      <c r="J26" s="816">
        <f>ER!N7</f>
        <v>113355.54684437475</v>
      </c>
      <c r="K26" s="816">
        <f>ER!M7</f>
        <v>113953.14735336196</v>
      </c>
      <c r="L26" s="816">
        <f>ER!L7</f>
        <v>119877.25752508361</v>
      </c>
      <c r="M26" s="817">
        <f>ER!K7</f>
        <v>122002.05278592375</v>
      </c>
      <c r="P26" s="816"/>
    </row>
    <row r="27" spans="2:22">
      <c r="B27" s="815" t="s">
        <v>328</v>
      </c>
      <c r="C27" s="816"/>
      <c r="D27" s="375"/>
      <c r="E27" s="375"/>
      <c r="F27" s="375"/>
      <c r="G27" s="816">
        <f>ER!Q8</f>
        <v>61332.065029401594</v>
      </c>
      <c r="H27" s="816">
        <f>ER!P8</f>
        <v>64083.30366678533</v>
      </c>
      <c r="I27" s="816">
        <f>ER!O8</f>
        <v>88081.201334816462</v>
      </c>
      <c r="J27" s="816">
        <f>ER!N8</f>
        <v>83265.386123088974</v>
      </c>
      <c r="K27" s="816">
        <f>ER!M8</f>
        <v>77440.6294706724</v>
      </c>
      <c r="L27" s="816">
        <f>ER!L8</f>
        <v>73598.327759197316</v>
      </c>
      <c r="M27" s="817">
        <f>ER!K8</f>
        <v>67589.149560117294</v>
      </c>
      <c r="O27" s="818"/>
      <c r="P27" s="819">
        <f>G24</f>
        <v>2009</v>
      </c>
      <c r="Q27" s="819">
        <f t="shared" ref="Q27:V27" si="3">H24</f>
        <v>2010</v>
      </c>
      <c r="R27" s="819">
        <f t="shared" si="3"/>
        <v>2011</v>
      </c>
      <c r="S27" s="819">
        <f t="shared" si="3"/>
        <v>2012</v>
      </c>
      <c r="T27" s="819">
        <f t="shared" si="3"/>
        <v>2013</v>
      </c>
      <c r="U27" s="819">
        <f t="shared" si="3"/>
        <v>2014</v>
      </c>
      <c r="V27" s="820">
        <f t="shared" si="3"/>
        <v>2015</v>
      </c>
    </row>
    <row r="28" spans="2:22">
      <c r="B28" s="821" t="s">
        <v>329</v>
      </c>
      <c r="C28" s="822"/>
      <c r="D28" s="823"/>
      <c r="E28" s="823"/>
      <c r="F28" s="823"/>
      <c r="G28" s="822">
        <f>ER!Q9</f>
        <v>1350.3977862331374</v>
      </c>
      <c r="H28" s="822">
        <f>ER!P9</f>
        <v>11113.563545745816</v>
      </c>
      <c r="I28" s="822">
        <f>ER!O9</f>
        <v>2344.0860215053763</v>
      </c>
      <c r="J28" s="822">
        <f>ER!N9</f>
        <v>9462.5637005096032</v>
      </c>
      <c r="K28" s="822">
        <f>ER!M9</f>
        <v>10220.314735336195</v>
      </c>
      <c r="L28" s="822">
        <f>ER!L9</f>
        <v>13259.53177257525</v>
      </c>
      <c r="M28" s="824">
        <f>ER!K9</f>
        <v>12270.674486803518</v>
      </c>
      <c r="O28" s="779" t="str">
        <f>B32</f>
        <v>Ventas Netas</v>
      </c>
      <c r="P28" s="816">
        <f t="shared" ref="P28:V28" si="4">(G32)/1000</f>
        <v>494.21653407125552</v>
      </c>
      <c r="Q28" s="816">
        <f t="shared" si="4"/>
        <v>547.54325382698471</v>
      </c>
      <c r="R28" s="816">
        <f t="shared" si="4"/>
        <v>655.47348906192065</v>
      </c>
      <c r="S28" s="816">
        <f t="shared" si="4"/>
        <v>804.0192081536652</v>
      </c>
      <c r="T28" s="816">
        <f t="shared" si="4"/>
        <v>756.7997138769673</v>
      </c>
      <c r="U28" s="816">
        <f t="shared" si="4"/>
        <v>745.42575250836114</v>
      </c>
      <c r="V28" s="817">
        <f t="shared" si="4"/>
        <v>718.01906158357758</v>
      </c>
    </row>
    <row r="29" spans="2:22" ht="15">
      <c r="B29" s="825" t="s">
        <v>829</v>
      </c>
      <c r="C29" s="816"/>
      <c r="D29" s="375"/>
      <c r="E29" s="375"/>
      <c r="F29" s="375"/>
      <c r="G29" s="816">
        <f>SUM(G25:G28)</f>
        <v>587776.54790729843</v>
      </c>
      <c r="H29" s="816">
        <f t="shared" ref="H29:M29" si="5">SUM(H25:H28)</f>
        <v>664128.87148451409</v>
      </c>
      <c r="I29" s="816">
        <f t="shared" si="5"/>
        <v>772974.78680014831</v>
      </c>
      <c r="J29" s="816">
        <f t="shared" si="5"/>
        <v>945080.36064288509</v>
      </c>
      <c r="K29" s="816">
        <f t="shared" si="5"/>
        <v>901167.73962804023</v>
      </c>
      <c r="L29" s="816">
        <f t="shared" si="5"/>
        <v>883913.37792642135</v>
      </c>
      <c r="M29" s="817">
        <f t="shared" si="5"/>
        <v>833331.08504398807</v>
      </c>
      <c r="O29" s="826" t="s">
        <v>694</v>
      </c>
      <c r="P29" s="822">
        <f>([3]Ratios!I102)/1000</f>
        <v>8.2634217858840858E-4</v>
      </c>
      <c r="Q29" s="822">
        <f>([3]Ratios!H102)/1000</f>
        <v>7.4963199108068319E-4</v>
      </c>
      <c r="R29" s="822">
        <f>([3]Ratios!G102)/1000</f>
        <v>1.548913311112268E-3</v>
      </c>
      <c r="S29" s="822">
        <f>([3]Ratios!F102)/1000</f>
        <v>1.4104396976633742E-3</v>
      </c>
      <c r="T29" s="822">
        <f>([3]Ratios!E102)/1000</f>
        <v>2.6484023395317189E-3</v>
      </c>
      <c r="U29" s="822">
        <f>([3]Ratios!D102)/1000</f>
        <v>2.7986802520605335E-3</v>
      </c>
      <c r="V29" s="824">
        <f>([3]Ratios!C102)/1000</f>
        <v>3.3924907423749898E-3</v>
      </c>
    </row>
    <row r="30" spans="2:22">
      <c r="B30" s="815" t="s">
        <v>330</v>
      </c>
      <c r="C30" s="816"/>
      <c r="D30" s="375"/>
      <c r="E30" s="375"/>
      <c r="F30" s="375"/>
      <c r="G30" s="816">
        <f>ER!Q10</f>
        <v>-93560.013836042897</v>
      </c>
      <c r="H30" s="816">
        <f>ER!P10</f>
        <v>-116585.61765752936</v>
      </c>
      <c r="I30" s="816">
        <f>ER!O10</f>
        <v>-117501.29773822766</v>
      </c>
      <c r="J30" s="816">
        <f>ER!N10</f>
        <v>-141061.15248921991</v>
      </c>
      <c r="K30" s="816">
        <f>ER!M10</f>
        <v>-144368.02575107297</v>
      </c>
      <c r="L30" s="816">
        <f>ER!L10</f>
        <v>-138487.6254180602</v>
      </c>
      <c r="M30" s="817">
        <f>ER!K10</f>
        <v>-115312.02346041055</v>
      </c>
    </row>
    <row r="31" spans="2:22" ht="14.25">
      <c r="B31" s="821" t="s">
        <v>830</v>
      </c>
      <c r="C31" s="822"/>
      <c r="D31" s="823"/>
      <c r="E31" s="823"/>
      <c r="F31" s="823"/>
      <c r="G31" s="827">
        <f>G30/G29</f>
        <v>-0.15917616000357807</v>
      </c>
      <c r="H31" s="827">
        <f t="shared" ref="H31:M31" si="6">H30/H29</f>
        <v>-0.1755466787596929</v>
      </c>
      <c r="I31" s="827">
        <f t="shared" si="6"/>
        <v>-0.15201181169782124</v>
      </c>
      <c r="J31" s="827">
        <f t="shared" si="6"/>
        <v>-0.14925836824422414</v>
      </c>
      <c r="K31" s="827">
        <f t="shared" si="6"/>
        <v>-0.16020105847404315</v>
      </c>
      <c r="L31" s="827">
        <f t="shared" si="6"/>
        <v>-0.15667556219472467</v>
      </c>
      <c r="M31" s="828">
        <f t="shared" si="6"/>
        <v>-0.13837480148040285</v>
      </c>
      <c r="N31" s="43">
        <f>AVERAGE(G31:M31)</f>
        <v>-0.15589206297921243</v>
      </c>
    </row>
    <row r="32" spans="2:22" ht="15">
      <c r="B32" s="829" t="s">
        <v>831</v>
      </c>
      <c r="C32" s="830">
        <f>SUM(C25:C30)</f>
        <v>0</v>
      </c>
      <c r="D32" s="823"/>
      <c r="E32" s="823"/>
      <c r="F32" s="823"/>
      <c r="G32" s="830">
        <f>SUM(G29:G30)</f>
        <v>494216.53407125553</v>
      </c>
      <c r="H32" s="830">
        <f t="shared" ref="H32:L32" si="7">SUM(H29:H30)</f>
        <v>547543.25382698467</v>
      </c>
      <c r="I32" s="830">
        <f t="shared" si="7"/>
        <v>655473.48906192067</v>
      </c>
      <c r="J32" s="830">
        <f t="shared" si="7"/>
        <v>804019.20815366518</v>
      </c>
      <c r="K32" s="830">
        <f t="shared" si="7"/>
        <v>756799.71387696732</v>
      </c>
      <c r="L32" s="830">
        <f t="shared" si="7"/>
        <v>745425.75250836113</v>
      </c>
      <c r="M32" s="831">
        <f>SUM(M29:M30)</f>
        <v>718019.06158357754</v>
      </c>
    </row>
    <row r="33" spans="2:14" ht="14.25">
      <c r="B33" s="41" t="s">
        <v>832</v>
      </c>
      <c r="H33" s="787"/>
      <c r="I33" s="787"/>
      <c r="J33" s="787"/>
      <c r="K33" s="787"/>
      <c r="L33" s="793"/>
      <c r="M33" s="793"/>
    </row>
    <row r="34" spans="2:14">
      <c r="G34" s="1329"/>
      <c r="H34" s="1329"/>
      <c r="I34" s="1329"/>
      <c r="J34" s="1329"/>
      <c r="K34" s="1329"/>
      <c r="L34" s="1329"/>
      <c r="M34" s="1329"/>
    </row>
    <row r="35" spans="2:14" ht="15">
      <c r="B35" s="798" t="s">
        <v>1383</v>
      </c>
      <c r="C35" s="799"/>
      <c r="D35" s="799"/>
      <c r="E35" s="799"/>
      <c r="F35" s="799"/>
      <c r="G35" s="799"/>
      <c r="H35" s="799"/>
      <c r="I35" s="799"/>
      <c r="J35" s="799"/>
      <c r="K35" s="799"/>
      <c r="L35" s="799"/>
      <c r="M35" s="777"/>
    </row>
    <row r="36" spans="2:14" ht="15">
      <c r="B36" s="812"/>
      <c r="C36" s="813">
        <v>2015</v>
      </c>
      <c r="D36" s="789">
        <v>2006</v>
      </c>
      <c r="E36" s="789">
        <v>2007</v>
      </c>
      <c r="F36" s="789">
        <v>2008</v>
      </c>
      <c r="G36" s="813">
        <v>2009</v>
      </c>
      <c r="H36" s="813">
        <v>2010</v>
      </c>
      <c r="I36" s="813">
        <v>2011</v>
      </c>
      <c r="J36" s="813">
        <v>2012</v>
      </c>
      <c r="K36" s="813">
        <v>2013</v>
      </c>
      <c r="L36" s="813">
        <v>2014</v>
      </c>
      <c r="M36" s="832">
        <v>2015</v>
      </c>
    </row>
    <row r="37" spans="2:14">
      <c r="B37" s="815" t="s">
        <v>325</v>
      </c>
      <c r="C37" s="816"/>
      <c r="D37" s="375"/>
      <c r="E37" s="375"/>
      <c r="F37" s="375"/>
      <c r="G37" s="833">
        <f t="shared" ref="G37:L40" si="8">G16*G$32</f>
        <v>402221.01408318419</v>
      </c>
      <c r="H37" s="833">
        <f t="shared" si="8"/>
        <v>440384.26852014312</v>
      </c>
      <c r="I37" s="833">
        <f t="shared" si="8"/>
        <v>533162.11365655728</v>
      </c>
      <c r="J37" s="833">
        <f t="shared" si="8"/>
        <v>632374.65809838835</v>
      </c>
      <c r="K37" s="833">
        <f t="shared" si="8"/>
        <v>588979.82460590464</v>
      </c>
      <c r="L37" s="833">
        <f>L16*L$32</f>
        <v>577211.68632993777</v>
      </c>
      <c r="M37" s="834">
        <f>M16*M$32</f>
        <v>558752.57856074965</v>
      </c>
    </row>
    <row r="38" spans="2:14">
      <c r="B38" s="815" t="s">
        <v>327</v>
      </c>
      <c r="C38" s="816"/>
      <c r="D38" s="375"/>
      <c r="E38" s="375"/>
      <c r="F38" s="375"/>
      <c r="G38" s="835">
        <f t="shared" si="8"/>
        <v>43922.673077011517</v>
      </c>
      <c r="H38" s="835">
        <f t="shared" si="8"/>
        <v>57673.606709994485</v>
      </c>
      <c r="I38" s="835">
        <f t="shared" si="8"/>
        <v>64101.047280134291</v>
      </c>
      <c r="J38" s="835">
        <f t="shared" si="8"/>
        <v>99373.160558318166</v>
      </c>
      <c r="K38" s="835">
        <f t="shared" si="8"/>
        <v>99475.328821653384</v>
      </c>
      <c r="L38" s="835">
        <f t="shared" si="8"/>
        <v>103336.27524678492</v>
      </c>
      <c r="M38" s="836">
        <f>M17*M$32</f>
        <v>94445.317740977116</v>
      </c>
    </row>
    <row r="39" spans="2:14">
      <c r="B39" s="815" t="s">
        <v>328</v>
      </c>
      <c r="C39" s="816"/>
      <c r="D39" s="375"/>
      <c r="E39" s="375"/>
      <c r="F39" s="375"/>
      <c r="G39" s="835">
        <f t="shared" si="8"/>
        <v>38734.9557844511</v>
      </c>
      <c r="H39" s="835">
        <f t="shared" si="8"/>
        <v>38449.071139996326</v>
      </c>
      <c r="I39" s="835">
        <f t="shared" si="8"/>
        <v>44862.736962756208</v>
      </c>
      <c r="J39" s="835">
        <f t="shared" si="8"/>
        <v>54203.542122719002</v>
      </c>
      <c r="K39" s="835">
        <f t="shared" si="8"/>
        <v>49022.014563188895</v>
      </c>
      <c r="L39" s="835">
        <f t="shared" si="8"/>
        <v>46484.60278091619</v>
      </c>
      <c r="M39" s="836">
        <f>M18*M$32</f>
        <v>46342.733549920449</v>
      </c>
    </row>
    <row r="40" spans="2:14">
      <c r="B40" s="815" t="s">
        <v>329</v>
      </c>
      <c r="C40" s="816"/>
      <c r="D40" s="375"/>
      <c r="E40" s="375"/>
      <c r="F40" s="375"/>
      <c r="G40" s="837">
        <f t="shared" si="8"/>
        <v>9337.8911266087471</v>
      </c>
      <c r="H40" s="837">
        <f t="shared" si="8"/>
        <v>11036.307456850796</v>
      </c>
      <c r="I40" s="837">
        <f t="shared" si="8"/>
        <v>13347.591162472921</v>
      </c>
      <c r="J40" s="837">
        <f t="shared" si="8"/>
        <v>18067.847374239667</v>
      </c>
      <c r="K40" s="837">
        <f t="shared" si="8"/>
        <v>19322.54588622044</v>
      </c>
      <c r="L40" s="837">
        <f t="shared" si="8"/>
        <v>18393.188150722235</v>
      </c>
      <c r="M40" s="838">
        <f>M19*M$32</f>
        <v>18478.431731930305</v>
      </c>
    </row>
    <row r="41" spans="2:14" ht="15">
      <c r="B41" s="839" t="s">
        <v>331</v>
      </c>
      <c r="C41" s="840">
        <f>SUM(C37:C40)</f>
        <v>0</v>
      </c>
      <c r="D41" s="841"/>
      <c r="E41" s="841"/>
      <c r="F41" s="841"/>
      <c r="G41" s="840">
        <f t="shared" ref="G41:K41" si="9">SUM(G37:G40)</f>
        <v>494216.53407125559</v>
      </c>
      <c r="H41" s="840">
        <f t="shared" si="9"/>
        <v>547543.25382698467</v>
      </c>
      <c r="I41" s="840">
        <f t="shared" si="9"/>
        <v>655473.48906192079</v>
      </c>
      <c r="J41" s="840">
        <f t="shared" si="9"/>
        <v>804019.20815366518</v>
      </c>
      <c r="K41" s="840">
        <f t="shared" si="9"/>
        <v>756799.71387696732</v>
      </c>
      <c r="L41" s="840">
        <f>SUM(L37:L40)</f>
        <v>745425.75250836101</v>
      </c>
      <c r="M41" s="842">
        <f>SUM(M37:M40)</f>
        <v>718019.06158357766</v>
      </c>
    </row>
    <row r="42" spans="2:14">
      <c r="M42" s="777"/>
    </row>
    <row r="43" spans="2:14" ht="15" hidden="1" outlineLevel="1">
      <c r="B43" s="798" t="s">
        <v>833</v>
      </c>
      <c r="M43" s="777"/>
    </row>
    <row r="44" spans="2:14" ht="15" hidden="1" outlineLevel="1">
      <c r="B44" s="812"/>
      <c r="C44" s="813">
        <v>2015</v>
      </c>
      <c r="D44" s="789">
        <v>2006</v>
      </c>
      <c r="E44" s="789">
        <v>2007</v>
      </c>
      <c r="F44" s="789">
        <v>2008</v>
      </c>
      <c r="G44" s="813">
        <v>2009</v>
      </c>
      <c r="H44" s="813">
        <v>2010</v>
      </c>
      <c r="I44" s="813">
        <v>2011</v>
      </c>
      <c r="J44" s="813">
        <v>2012</v>
      </c>
      <c r="K44" s="813">
        <v>2013</v>
      </c>
      <c r="L44" s="813">
        <v>2014</v>
      </c>
      <c r="M44" s="843">
        <v>2015</v>
      </c>
    </row>
    <row r="45" spans="2:14" hidden="1" outlineLevel="1">
      <c r="B45" s="815" t="s">
        <v>325</v>
      </c>
      <c r="C45" s="816"/>
      <c r="D45" s="375"/>
      <c r="E45" s="375"/>
      <c r="F45" s="375"/>
      <c r="G45" s="833">
        <f t="shared" ref="G45:M48" si="10">G25-G37</f>
        <v>68997.941295577504</v>
      </c>
      <c r="H45" s="833">
        <f t="shared" si="10"/>
        <v>78434.88420324598</v>
      </c>
      <c r="I45" s="833">
        <f t="shared" si="10"/>
        <v>76024.019083524239</v>
      </c>
      <c r="J45" s="833">
        <f t="shared" si="10"/>
        <v>106622.2058765234</v>
      </c>
      <c r="K45" s="833">
        <f t="shared" si="10"/>
        <v>110573.82346276497</v>
      </c>
      <c r="L45" s="833">
        <f t="shared" si="10"/>
        <v>99966.574539627414</v>
      </c>
      <c r="M45" s="834">
        <f t="shared" si="10"/>
        <v>72716.629650393967</v>
      </c>
      <c r="N45" s="844"/>
    </row>
    <row r="46" spans="2:14" hidden="1" outlineLevel="1">
      <c r="B46" s="815" t="s">
        <v>327</v>
      </c>
      <c r="C46" s="816"/>
      <c r="D46" s="375"/>
      <c r="E46" s="375"/>
      <c r="F46" s="375"/>
      <c r="G46" s="835">
        <f t="shared" si="10"/>
        <v>9952.456635890594</v>
      </c>
      <c r="H46" s="835">
        <f t="shared" si="10"/>
        <v>12439.244838599312</v>
      </c>
      <c r="I46" s="835">
        <f t="shared" si="10"/>
        <v>9262.3194236106137</v>
      </c>
      <c r="J46" s="835">
        <f t="shared" si="10"/>
        <v>13982.386286056586</v>
      </c>
      <c r="K46" s="835">
        <f t="shared" si="10"/>
        <v>14477.818531708574</v>
      </c>
      <c r="L46" s="835">
        <f t="shared" si="10"/>
        <v>16540.982278298688</v>
      </c>
      <c r="M46" s="836">
        <f t="shared" si="10"/>
        <v>27556.735044946632</v>
      </c>
    </row>
    <row r="47" spans="2:14" hidden="1" outlineLevel="1">
      <c r="B47" s="815" t="s">
        <v>328</v>
      </c>
      <c r="C47" s="816"/>
      <c r="D47" s="375"/>
      <c r="E47" s="375"/>
      <c r="F47" s="375"/>
      <c r="G47" s="835">
        <f t="shared" si="10"/>
        <v>22597.109244950494</v>
      </c>
      <c r="H47" s="835">
        <f t="shared" si="10"/>
        <v>25634.232526789005</v>
      </c>
      <c r="I47" s="835">
        <f t="shared" si="10"/>
        <v>43218.464372060254</v>
      </c>
      <c r="J47" s="835">
        <f t="shared" si="10"/>
        <v>29061.844000369972</v>
      </c>
      <c r="K47" s="835">
        <f t="shared" si="10"/>
        <v>28418.614907483505</v>
      </c>
      <c r="L47" s="835">
        <f t="shared" si="10"/>
        <v>27113.724978281127</v>
      </c>
      <c r="M47" s="836">
        <f t="shared" si="10"/>
        <v>21246.416010196845</v>
      </c>
    </row>
    <row r="48" spans="2:14" hidden="1" outlineLevel="1">
      <c r="B48" s="815" t="s">
        <v>329</v>
      </c>
      <c r="C48" s="816"/>
      <c r="D48" s="375"/>
      <c r="E48" s="375"/>
      <c r="F48" s="375"/>
      <c r="G48" s="837">
        <f t="shared" si="10"/>
        <v>-7987.4933403756095</v>
      </c>
      <c r="H48" s="837">
        <f t="shared" si="10"/>
        <v>77.256088895019275</v>
      </c>
      <c r="I48" s="837">
        <f t="shared" si="10"/>
        <v>-11003.505140967545</v>
      </c>
      <c r="J48" s="837">
        <f t="shared" si="10"/>
        <v>-8605.283673730064</v>
      </c>
      <c r="K48" s="837">
        <f t="shared" si="10"/>
        <v>-9102.2311508842449</v>
      </c>
      <c r="L48" s="837">
        <f t="shared" si="10"/>
        <v>-5133.6563781469849</v>
      </c>
      <c r="M48" s="838">
        <f t="shared" si="10"/>
        <v>-6207.7572451267861</v>
      </c>
    </row>
    <row r="49" spans="2:13" ht="15" hidden="1" outlineLevel="1">
      <c r="B49" s="839" t="s">
        <v>331</v>
      </c>
      <c r="C49" s="840">
        <f>SUM(C45:C48)</f>
        <v>0</v>
      </c>
      <c r="D49" s="841"/>
      <c r="E49" s="841"/>
      <c r="F49" s="841"/>
      <c r="G49" s="840">
        <f t="shared" ref="G49:M49" si="11">SUM(G45:G48)</f>
        <v>93560.01383604297</v>
      </c>
      <c r="H49" s="840">
        <f t="shared" si="11"/>
        <v>116585.61765752934</v>
      </c>
      <c r="I49" s="840">
        <f t="shared" si="11"/>
        <v>117501.29773822756</v>
      </c>
      <c r="J49" s="840">
        <f t="shared" si="11"/>
        <v>141061.15248921988</v>
      </c>
      <c r="K49" s="840">
        <f t="shared" si="11"/>
        <v>144368.0257510728</v>
      </c>
      <c r="L49" s="840">
        <f t="shared" si="11"/>
        <v>138487.62541806026</v>
      </c>
      <c r="M49" s="842">
        <f t="shared" si="11"/>
        <v>115312.02346041065</v>
      </c>
    </row>
    <row r="50" spans="2:13" hidden="1" outlineLevel="1">
      <c r="M50" s="777"/>
    </row>
    <row r="51" spans="2:13" ht="15" hidden="1" outlineLevel="1">
      <c r="B51" s="798" t="s">
        <v>834</v>
      </c>
      <c r="M51" s="777"/>
    </row>
    <row r="52" spans="2:13" ht="15" hidden="1" outlineLevel="1">
      <c r="B52" s="812"/>
      <c r="C52" s="813">
        <v>2015</v>
      </c>
      <c r="D52" s="789">
        <v>2006</v>
      </c>
      <c r="E52" s="789">
        <v>2007</v>
      </c>
      <c r="F52" s="789">
        <v>2008</v>
      </c>
      <c r="G52" s="813">
        <v>2009</v>
      </c>
      <c r="H52" s="813">
        <v>2010</v>
      </c>
      <c r="I52" s="813">
        <v>2011</v>
      </c>
      <c r="J52" s="813">
        <v>2012</v>
      </c>
      <c r="K52" s="813">
        <v>2013</v>
      </c>
      <c r="L52" s="813">
        <v>2014</v>
      </c>
      <c r="M52" s="843">
        <v>2014</v>
      </c>
    </row>
    <row r="53" spans="2:13" hidden="1" outlineLevel="1">
      <c r="B53" s="815" t="s">
        <v>325</v>
      </c>
      <c r="C53" s="816"/>
      <c r="D53" s="375"/>
      <c r="E53" s="375"/>
      <c r="F53" s="375"/>
      <c r="G53" s="845">
        <f t="shared" ref="G53:M56" si="12">G45/G25</f>
        <v>0.14642437556468321</v>
      </c>
      <c r="H53" s="845">
        <f t="shared" si="12"/>
        <v>0.15117962355769837</v>
      </c>
      <c r="I53" s="845">
        <f t="shared" si="12"/>
        <v>0.12479604343843631</v>
      </c>
      <c r="J53" s="845">
        <f t="shared" si="12"/>
        <v>0.14427964592843404</v>
      </c>
      <c r="K53" s="845">
        <f t="shared" si="12"/>
        <v>0.15806339337667324</v>
      </c>
      <c r="L53" s="845">
        <f t="shared" si="12"/>
        <v>0.14762224412115688</v>
      </c>
      <c r="M53" s="846">
        <f t="shared" si="12"/>
        <v>0.11515467215953275</v>
      </c>
    </row>
    <row r="54" spans="2:13" hidden="1" outlineLevel="1">
      <c r="B54" s="815" t="s">
        <v>327</v>
      </c>
      <c r="C54" s="816"/>
      <c r="D54" s="375"/>
      <c r="E54" s="375"/>
      <c r="F54" s="375"/>
      <c r="G54" s="844">
        <f t="shared" si="12"/>
        <v>0.18473192897960045</v>
      </c>
      <c r="H54" s="844">
        <f t="shared" si="12"/>
        <v>0.1774174714599637</v>
      </c>
      <c r="I54" s="844">
        <f t="shared" si="12"/>
        <v>0.12625264951394072</v>
      </c>
      <c r="J54" s="844">
        <f t="shared" si="12"/>
        <v>0.12334981988356451</v>
      </c>
      <c r="K54" s="844">
        <f t="shared" si="12"/>
        <v>0.12705062447124621</v>
      </c>
      <c r="L54" s="844">
        <f t="shared" si="12"/>
        <v>0.13798265509066709</v>
      </c>
      <c r="M54" s="847">
        <f t="shared" si="12"/>
        <v>0.22587107688507721</v>
      </c>
    </row>
    <row r="55" spans="2:13" hidden="1" outlineLevel="1">
      <c r="B55" s="815" t="s">
        <v>328</v>
      </c>
      <c r="C55" s="816"/>
      <c r="D55" s="375"/>
      <c r="E55" s="375"/>
      <c r="F55" s="375"/>
      <c r="G55" s="844">
        <f t="shared" si="12"/>
        <v>0.3684387478901584</v>
      </c>
      <c r="H55" s="844">
        <f t="shared" si="12"/>
        <v>0.40001421680879018</v>
      </c>
      <c r="I55" s="844">
        <f t="shared" si="12"/>
        <v>0.49066615483339232</v>
      </c>
      <c r="J55" s="844">
        <f t="shared" si="12"/>
        <v>0.34902671270158564</v>
      </c>
      <c r="K55" s="844">
        <f t="shared" si="12"/>
        <v>0.36697293270641529</v>
      </c>
      <c r="L55" s="844">
        <f t="shared" si="12"/>
        <v>0.36840137274576629</v>
      </c>
      <c r="M55" s="847">
        <f t="shared" si="12"/>
        <v>0.31434655042225645</v>
      </c>
    </row>
    <row r="56" spans="2:13" hidden="1" outlineLevel="1">
      <c r="B56" s="815" t="s">
        <v>329</v>
      </c>
      <c r="C56" s="816"/>
      <c r="D56" s="375"/>
      <c r="E56" s="375"/>
      <c r="F56" s="375"/>
      <c r="G56" s="848">
        <f t="shared" si="12"/>
        <v>-5.9149188645045818</v>
      </c>
      <c r="H56" s="848">
        <f t="shared" si="12"/>
        <v>6.9515136685921316E-3</v>
      </c>
      <c r="I56" s="848">
        <f t="shared" si="12"/>
        <v>-4.6941558628898248</v>
      </c>
      <c r="J56" s="848">
        <f t="shared" si="12"/>
        <v>-0.90940298486620796</v>
      </c>
      <c r="K56" s="848">
        <f t="shared" si="12"/>
        <v>-0.89060184413047128</v>
      </c>
      <c r="L56" s="848">
        <f t="shared" si="12"/>
        <v>-0.38716724437924344</v>
      </c>
      <c r="M56" s="849">
        <f t="shared" si="12"/>
        <v>-0.50590187620109317</v>
      </c>
    </row>
    <row r="57" spans="2:13" ht="15" hidden="1" outlineLevel="1">
      <c r="B57" s="839" t="s">
        <v>331</v>
      </c>
      <c r="C57" s="840">
        <f>SUM(C53:C56)</f>
        <v>0</v>
      </c>
      <c r="D57" s="841"/>
      <c r="E57" s="841"/>
      <c r="F57" s="841"/>
      <c r="G57" s="840">
        <f t="shared" ref="G57:M57" si="13">SUM(G53:G56)</f>
        <v>-5.2153238120701397</v>
      </c>
      <c r="H57" s="840">
        <f t="shared" si="13"/>
        <v>0.73556282549504448</v>
      </c>
      <c r="I57" s="840">
        <f t="shared" si="13"/>
        <v>-3.9524410151040552</v>
      </c>
      <c r="J57" s="840">
        <f t="shared" si="13"/>
        <v>-0.29274680635262373</v>
      </c>
      <c r="K57" s="840">
        <f t="shared" si="13"/>
        <v>-0.23851489357613653</v>
      </c>
      <c r="L57" s="840">
        <f t="shared" si="13"/>
        <v>0.26683902757834688</v>
      </c>
      <c r="M57" s="842">
        <f t="shared" si="13"/>
        <v>0.14947042326577331</v>
      </c>
    </row>
    <row r="58" spans="2:13" collapsed="1">
      <c r="M58" s="777"/>
    </row>
    <row r="59" spans="2:13" ht="15">
      <c r="B59" s="786" t="s">
        <v>824</v>
      </c>
      <c r="C59" s="801"/>
      <c r="D59" s="801"/>
      <c r="E59" s="801"/>
      <c r="F59" s="801"/>
      <c r="G59" s="801"/>
      <c r="H59" s="801"/>
      <c r="I59" s="801"/>
      <c r="J59" s="801"/>
      <c r="K59" s="801"/>
      <c r="L59" s="801"/>
      <c r="M59" s="777"/>
    </row>
    <row r="60" spans="2:13" ht="15">
      <c r="B60" s="812"/>
      <c r="C60" s="813">
        <v>2015</v>
      </c>
      <c r="D60" s="789">
        <v>2006</v>
      </c>
      <c r="E60" s="789">
        <v>2007</v>
      </c>
      <c r="F60" s="789">
        <v>2008</v>
      </c>
      <c r="G60" s="813">
        <v>2009</v>
      </c>
      <c r="H60" s="813">
        <v>2010</v>
      </c>
      <c r="I60" s="813">
        <v>2011</v>
      </c>
      <c r="J60" s="813">
        <v>2012</v>
      </c>
      <c r="K60" s="813">
        <v>2013</v>
      </c>
      <c r="L60" s="813">
        <v>2014</v>
      </c>
      <c r="M60" s="843">
        <v>2015</v>
      </c>
    </row>
    <row r="61" spans="2:13">
      <c r="B61" s="779" t="s">
        <v>821</v>
      </c>
      <c r="C61" s="816"/>
      <c r="D61" s="375"/>
      <c r="E61" s="375"/>
      <c r="F61" s="375"/>
      <c r="G61" s="816">
        <f>'Caja a Litros'!N25</f>
        <v>1027.7392993559999</v>
      </c>
      <c r="H61" s="816">
        <f>'Caja a Litros'!O25</f>
        <v>1056.129887736</v>
      </c>
      <c r="I61" s="816">
        <f>'Caja a Litros'!P25</f>
        <v>1141.3016528759999</v>
      </c>
      <c r="J61" s="816">
        <f>'Caja a Litros'!Q25</f>
        <v>1169.6922412559998</v>
      </c>
      <c r="K61" s="816">
        <f>'Caja a Litros'!R25</f>
        <v>1152.6578882279998</v>
      </c>
      <c r="L61" s="816">
        <f>'Caja a Litros'!S25</f>
        <v>1169.6922412559998</v>
      </c>
      <c r="M61" s="817">
        <f>'Caja a Litros'!T25</f>
        <v>1195.8115825655998</v>
      </c>
    </row>
    <row r="62" spans="2:13">
      <c r="B62" s="779" t="s">
        <v>327</v>
      </c>
      <c r="C62" s="816"/>
      <c r="D62" s="375"/>
      <c r="E62" s="375"/>
      <c r="F62" s="375"/>
      <c r="G62" s="816">
        <f>'Caja a Litros'!N26</f>
        <v>186.81007154039997</v>
      </c>
      <c r="H62" s="816">
        <f>'Caja a Litros'!O26</f>
        <v>214.63284815279997</v>
      </c>
      <c r="I62" s="816">
        <f>'Caja a Litros'!P26</f>
        <v>249.83717774399997</v>
      </c>
      <c r="J62" s="816">
        <f>'Caja a Litros'!Q26</f>
        <v>300.94023682799997</v>
      </c>
      <c r="K62" s="816">
        <f>'Caja a Litros'!R26</f>
        <v>315.13553101799994</v>
      </c>
      <c r="L62" s="816">
        <f>'Caja a Litros'!S26</f>
        <v>337.28018995439993</v>
      </c>
      <c r="M62" s="817">
        <f>'Caja a Litros'!T26</f>
        <v>348.77837824829993</v>
      </c>
    </row>
    <row r="63" spans="2:13">
      <c r="B63" s="779" t="s">
        <v>822</v>
      </c>
      <c r="C63" s="816"/>
      <c r="D63" s="375"/>
      <c r="E63" s="375"/>
      <c r="F63" s="375"/>
      <c r="G63" s="816">
        <f>'Caja a Litros'!N27</f>
        <v>61.891482668399995</v>
      </c>
      <c r="H63" s="816">
        <f>'Caja a Litros'!O27</f>
        <v>55.645553224799997</v>
      </c>
      <c r="I63" s="816">
        <f>'Caja a Litros'!P27</f>
        <v>60.755859133199991</v>
      </c>
      <c r="J63" s="816">
        <f>'Caja a Litros'!Q27</f>
        <v>62.459294435999993</v>
      </c>
      <c r="K63" s="816">
        <f>'Caja a Litros'!R27</f>
        <v>63.027106203599992</v>
      </c>
      <c r="L63" s="816">
        <f>'Caja a Litros'!S27</f>
        <v>61.891482668399995</v>
      </c>
      <c r="M63" s="817">
        <f>'Caja a Litros'!T27</f>
        <v>64.773127388969996</v>
      </c>
    </row>
    <row r="64" spans="2:13">
      <c r="B64" s="779" t="s">
        <v>823</v>
      </c>
      <c r="C64" s="816"/>
      <c r="D64" s="375"/>
      <c r="E64" s="375"/>
      <c r="F64" s="375"/>
      <c r="G64" s="816">
        <f>'Caja a Litros'!N28</f>
        <v>14.195294189999998</v>
      </c>
      <c r="H64" s="816">
        <f>'Caja a Litros'!O28</f>
        <v>17.034353027999998</v>
      </c>
      <c r="I64" s="816">
        <f>'Caja a Litros'!P28</f>
        <v>19.873411865999998</v>
      </c>
      <c r="J64" s="816">
        <f>'Caja a Litros'!Q28</f>
        <v>25.551529541999997</v>
      </c>
      <c r="K64" s="816">
        <f>'Caja a Litros'!R28</f>
        <v>28.958400147599995</v>
      </c>
      <c r="L64" s="816">
        <f>'Caja a Litros'!S28</f>
        <v>27.254964844799996</v>
      </c>
      <c r="M64" s="817">
        <f>'Caja a Litros'!T28</f>
        <v>51.486332027129997</v>
      </c>
    </row>
    <row r="65" spans="2:13" ht="15">
      <c r="B65" s="839" t="s">
        <v>331</v>
      </c>
      <c r="C65" s="840">
        <f>SUM(C61:C64)</f>
        <v>0</v>
      </c>
      <c r="D65" s="841"/>
      <c r="E65" s="841"/>
      <c r="F65" s="841"/>
      <c r="G65" s="840">
        <f t="shared" ref="G65:M65" si="14">SUM(G61:G64)</f>
        <v>1290.6361477547998</v>
      </c>
      <c r="H65" s="840">
        <f t="shared" si="14"/>
        <v>1343.4426421415999</v>
      </c>
      <c r="I65" s="840">
        <f t="shared" si="14"/>
        <v>1471.7681016191998</v>
      </c>
      <c r="J65" s="840">
        <f t="shared" si="14"/>
        <v>1558.6433020619997</v>
      </c>
      <c r="K65" s="840">
        <f t="shared" si="14"/>
        <v>1559.7789255971998</v>
      </c>
      <c r="L65" s="840">
        <f t="shared" si="14"/>
        <v>1596.1188787235997</v>
      </c>
      <c r="M65" s="842">
        <f t="shared" si="14"/>
        <v>1660.8494202299996</v>
      </c>
    </row>
    <row r="66" spans="2:13">
      <c r="H66" s="85"/>
      <c r="I66" s="85"/>
      <c r="J66" s="85"/>
      <c r="K66" s="85"/>
      <c r="L66" s="85"/>
      <c r="M66" s="85"/>
    </row>
    <row r="67" spans="2:13" ht="15">
      <c r="B67" s="786" t="s">
        <v>1384</v>
      </c>
      <c r="C67" s="369"/>
      <c r="D67" s="369"/>
      <c r="E67" s="369"/>
      <c r="F67" s="369"/>
      <c r="G67" s="369"/>
      <c r="H67" s="369"/>
      <c r="I67" s="369"/>
      <c r="J67" s="369"/>
      <c r="K67" s="369"/>
      <c r="L67" s="369"/>
      <c r="M67" s="777"/>
    </row>
    <row r="68" spans="2:13" ht="15">
      <c r="B68" s="1401"/>
      <c r="C68" s="1402">
        <v>2005</v>
      </c>
      <c r="D68" s="1402">
        <v>2006</v>
      </c>
      <c r="E68" s="1402">
        <v>2007</v>
      </c>
      <c r="F68" s="1402">
        <v>2008</v>
      </c>
      <c r="G68" s="1402">
        <v>2009</v>
      </c>
      <c r="H68" s="1402">
        <v>2010</v>
      </c>
      <c r="I68" s="1402">
        <v>2011</v>
      </c>
      <c r="J68" s="1402">
        <v>2012</v>
      </c>
      <c r="K68" s="1402">
        <v>2013</v>
      </c>
      <c r="L68" s="1402">
        <v>2014</v>
      </c>
      <c r="M68" s="1403">
        <v>2015</v>
      </c>
    </row>
    <row r="69" spans="2:13">
      <c r="B69" s="779" t="s">
        <v>821</v>
      </c>
      <c r="C69" s="850"/>
      <c r="D69" s="850"/>
      <c r="E69" s="850"/>
      <c r="F69" s="850"/>
      <c r="G69" s="851">
        <f t="shared" ref="G69:M72" si="15">G37/(G61*1000)</f>
        <v>0.39136482796291155</v>
      </c>
      <c r="H69" s="851">
        <f t="shared" si="15"/>
        <v>0.41697926896490378</v>
      </c>
      <c r="I69" s="851">
        <f t="shared" si="15"/>
        <v>0.46715266933419947</v>
      </c>
      <c r="J69" s="851">
        <f>J37/(J61*1000)</f>
        <v>0.54063336986774657</v>
      </c>
      <c r="K69" s="851">
        <f t="shared" si="15"/>
        <v>0.51097539922392154</v>
      </c>
      <c r="L69" s="851">
        <f>L37/(L61*1000)</f>
        <v>0.49347312564041257</v>
      </c>
      <c r="M69" s="852">
        <f>M37/(M61*1000)</f>
        <v>0.46725804190820136</v>
      </c>
    </row>
    <row r="70" spans="2:13">
      <c r="B70" s="779" t="s">
        <v>327</v>
      </c>
      <c r="C70" s="850"/>
      <c r="D70" s="850"/>
      <c r="E70" s="850"/>
      <c r="F70" s="850"/>
      <c r="G70" s="850">
        <f t="shared" si="15"/>
        <v>0.23511940611570667</v>
      </c>
      <c r="H70" s="850">
        <f t="shared" si="15"/>
        <v>0.26870820196606571</v>
      </c>
      <c r="I70" s="850">
        <f t="shared" si="15"/>
        <v>0.25657129118636035</v>
      </c>
      <c r="J70" s="850">
        <f t="shared" si="15"/>
        <v>0.33020895313215998</v>
      </c>
      <c r="K70" s="850">
        <f t="shared" si="15"/>
        <v>0.31565888016598026</v>
      </c>
      <c r="L70" s="850">
        <f t="shared" si="15"/>
        <v>0.30638109893366672</v>
      </c>
      <c r="M70" s="853">
        <f t="shared" si="15"/>
        <v>0.27078891247593406</v>
      </c>
    </row>
    <row r="71" spans="2:13">
      <c r="B71" s="779" t="s">
        <v>822</v>
      </c>
      <c r="C71" s="850"/>
      <c r="D71" s="850"/>
      <c r="E71" s="850"/>
      <c r="F71" s="850"/>
      <c r="G71" s="850">
        <f t="shared" si="15"/>
        <v>0.62585276865936279</v>
      </c>
      <c r="H71" s="850">
        <f t="shared" si="15"/>
        <v>0.69096394791274041</v>
      </c>
      <c r="I71" s="850">
        <f t="shared" si="15"/>
        <v>0.73841004971059654</v>
      </c>
      <c r="J71" s="850">
        <f t="shared" si="15"/>
        <v>0.86782187682666834</v>
      </c>
      <c r="K71" s="850">
        <f t="shared" si="15"/>
        <v>0.77779256443775691</v>
      </c>
      <c r="L71" s="850">
        <f t="shared" si="15"/>
        <v>0.75106623362005653</v>
      </c>
      <c r="M71" s="853">
        <f t="shared" si="15"/>
        <v>0.71546234399995945</v>
      </c>
    </row>
    <row r="72" spans="2:13">
      <c r="B72" s="779" t="s">
        <v>823</v>
      </c>
      <c r="C72" s="850"/>
      <c r="D72" s="850"/>
      <c r="E72" s="850"/>
      <c r="F72" s="850"/>
      <c r="G72" s="850">
        <f t="shared" si="15"/>
        <v>0.65781596363018013</v>
      </c>
      <c r="H72" s="850">
        <f t="shared" si="15"/>
        <v>0.6478853314070695</v>
      </c>
      <c r="I72" s="850">
        <f t="shared" si="15"/>
        <v>0.67163058122437258</v>
      </c>
      <c r="J72" s="850">
        <f t="shared" si="15"/>
        <v>0.70711412185876688</v>
      </c>
      <c r="K72" s="850">
        <f t="shared" si="15"/>
        <v>0.66725184360096113</v>
      </c>
      <c r="L72" s="850">
        <f t="shared" si="15"/>
        <v>0.67485642544248192</v>
      </c>
      <c r="M72" s="853">
        <f t="shared" si="15"/>
        <v>0.35889975075702335</v>
      </c>
    </row>
    <row r="73" spans="2:13">
      <c r="B73" s="783"/>
      <c r="C73" s="784"/>
      <c r="D73" s="784"/>
      <c r="E73" s="784"/>
      <c r="F73" s="784"/>
      <c r="G73" s="784"/>
      <c r="H73" s="784"/>
      <c r="I73" s="784"/>
      <c r="J73" s="784"/>
      <c r="K73" s="784"/>
      <c r="L73" s="784"/>
      <c r="M73" s="785"/>
    </row>
    <row r="74" spans="2:13">
      <c r="M74" s="777"/>
    </row>
    <row r="75" spans="2:13">
      <c r="H75" s="1365"/>
      <c r="I75" s="1365"/>
      <c r="J75" s="1365"/>
      <c r="K75" s="1365"/>
      <c r="L75" s="1365"/>
      <c r="M75" s="1363"/>
    </row>
    <row r="76" spans="2:13">
      <c r="H76" s="777"/>
      <c r="I76" s="1363"/>
      <c r="J76" s="1363"/>
      <c r="K76" s="1363"/>
      <c r="L76" s="1363"/>
      <c r="M76" s="1365"/>
    </row>
    <row r="77" spans="2:13">
      <c r="I77" s="1363"/>
      <c r="J77" s="1363"/>
      <c r="K77" s="1363"/>
      <c r="L77" s="1363"/>
      <c r="M77" s="1363"/>
    </row>
    <row r="78" spans="2:13">
      <c r="B78" s="777"/>
      <c r="C78" s="777"/>
      <c r="D78" s="777"/>
      <c r="E78" s="777"/>
      <c r="F78" s="777"/>
      <c r="G78" s="777"/>
      <c r="H78" s="777"/>
      <c r="I78" s="777"/>
      <c r="J78" s="777"/>
      <c r="K78" s="777"/>
      <c r="L78" s="777"/>
      <c r="M78" s="777"/>
    </row>
    <row r="79" spans="2:13" ht="15">
      <c r="B79" s="798"/>
      <c r="C79" s="799"/>
      <c r="D79" s="799"/>
      <c r="E79" s="799"/>
      <c r="F79" s="799"/>
      <c r="G79" s="799"/>
      <c r="H79" s="799"/>
      <c r="I79" s="799"/>
      <c r="J79" s="799"/>
      <c r="K79" s="799"/>
      <c r="L79" s="799"/>
      <c r="M79" s="777"/>
    </row>
    <row r="80" spans="2:13" ht="15">
      <c r="B80" s="1404"/>
      <c r="C80" s="1405"/>
      <c r="D80" s="1406"/>
      <c r="E80" s="1406"/>
      <c r="F80" s="1406"/>
      <c r="G80" s="1405"/>
      <c r="H80" s="1405"/>
      <c r="I80" s="1405"/>
      <c r="J80" s="1405"/>
      <c r="K80" s="1405"/>
      <c r="L80" s="1405"/>
      <c r="M80" s="1407"/>
    </row>
    <row r="81" spans="2:15">
      <c r="B81" s="1408"/>
      <c r="C81" s="816"/>
      <c r="D81" s="375"/>
      <c r="E81" s="375"/>
      <c r="F81" s="375"/>
      <c r="G81" s="835"/>
      <c r="H81" s="835"/>
      <c r="I81" s="835"/>
      <c r="J81" s="835"/>
      <c r="K81" s="835"/>
      <c r="L81" s="835"/>
      <c r="M81" s="835"/>
    </row>
    <row r="82" spans="2:15">
      <c r="B82" s="1408"/>
      <c r="C82" s="816"/>
      <c r="D82" s="375"/>
      <c r="E82" s="375"/>
      <c r="F82" s="375"/>
      <c r="G82" s="835"/>
      <c r="H82" s="835"/>
      <c r="I82" s="835"/>
      <c r="J82" s="835"/>
      <c r="K82" s="835"/>
      <c r="L82" s="835"/>
      <c r="M82" s="835"/>
    </row>
    <row r="83" spans="2:15">
      <c r="B83" s="1408"/>
      <c r="C83" s="816"/>
      <c r="D83" s="375"/>
      <c r="E83" s="375"/>
      <c r="F83" s="375"/>
      <c r="G83" s="835"/>
      <c r="H83" s="835"/>
      <c r="I83" s="835"/>
      <c r="J83" s="835"/>
      <c r="K83" s="835"/>
      <c r="L83" s="835"/>
      <c r="M83" s="835"/>
    </row>
    <row r="84" spans="2:15">
      <c r="B84" s="1408"/>
      <c r="C84" s="816"/>
      <c r="D84" s="375"/>
      <c r="E84" s="375"/>
      <c r="F84" s="375"/>
      <c r="G84" s="835"/>
      <c r="H84" s="835"/>
      <c r="I84" s="835"/>
      <c r="J84" s="835"/>
      <c r="K84" s="835"/>
      <c r="L84" s="835"/>
      <c r="M84" s="835"/>
    </row>
    <row r="85" spans="2:15" ht="15">
      <c r="B85" s="798"/>
      <c r="C85" s="1409"/>
      <c r="D85" s="375"/>
      <c r="E85" s="375"/>
      <c r="F85" s="375"/>
      <c r="G85" s="1409"/>
      <c r="H85" s="1409"/>
      <c r="I85" s="1409"/>
      <c r="J85" s="1409"/>
      <c r="K85" s="1409"/>
      <c r="L85" s="1409"/>
      <c r="M85" s="1409"/>
    </row>
    <row r="86" spans="2:15">
      <c r="B86" s="777"/>
      <c r="C86" s="777"/>
      <c r="D86" s="777"/>
      <c r="E86" s="777"/>
      <c r="F86" s="777"/>
      <c r="G86" s="1364"/>
      <c r="H86" s="1364"/>
      <c r="I86" s="1364"/>
      <c r="J86" s="1364"/>
      <c r="K86" s="1364"/>
      <c r="L86" s="1364"/>
      <c r="M86" s="1364"/>
    </row>
    <row r="87" spans="2:15">
      <c r="B87" s="777"/>
      <c r="C87" s="777"/>
      <c r="D87" s="777"/>
      <c r="E87" s="777"/>
      <c r="F87" s="777"/>
      <c r="G87" s="777"/>
      <c r="H87" s="777"/>
      <c r="I87" s="777"/>
      <c r="J87" s="777"/>
      <c r="K87" s="777"/>
      <c r="L87" s="777"/>
      <c r="M87" s="777"/>
    </row>
    <row r="88" spans="2:15" ht="15">
      <c r="B88" s="798"/>
      <c r="C88" s="799"/>
      <c r="D88" s="799"/>
      <c r="E88" s="799"/>
      <c r="F88" s="799"/>
      <c r="G88" s="799"/>
      <c r="H88" s="799"/>
      <c r="I88" s="799"/>
      <c r="J88" s="799"/>
      <c r="K88" s="799"/>
      <c r="L88" s="799"/>
      <c r="M88" s="777"/>
    </row>
    <row r="89" spans="2:15" ht="15">
      <c r="B89" s="1404"/>
      <c r="C89" s="1405"/>
      <c r="D89" s="1406"/>
      <c r="E89" s="1406"/>
      <c r="F89" s="1406"/>
      <c r="G89" s="1405"/>
      <c r="H89" s="1405"/>
      <c r="I89" s="1405"/>
      <c r="J89" s="1405"/>
      <c r="K89" s="1405"/>
      <c r="L89" s="1405"/>
      <c r="M89" s="1405"/>
    </row>
    <row r="90" spans="2:15">
      <c r="B90" s="777"/>
      <c r="C90" s="816"/>
      <c r="D90" s="375"/>
      <c r="E90" s="375"/>
      <c r="F90" s="375"/>
      <c r="G90" s="1366"/>
      <c r="H90" s="1366"/>
      <c r="I90" s="1366"/>
      <c r="J90" s="1366"/>
      <c r="K90" s="1366"/>
      <c r="L90" s="1366"/>
      <c r="M90" s="1366"/>
      <c r="N90" s="755"/>
      <c r="O90" s="755"/>
    </row>
    <row r="91" spans="2:15">
      <c r="B91" s="777"/>
      <c r="C91" s="816"/>
      <c r="D91" s="375"/>
      <c r="E91" s="375"/>
      <c r="F91" s="375"/>
      <c r="G91" s="1366"/>
      <c r="H91" s="1366"/>
      <c r="I91" s="1366"/>
      <c r="J91" s="1366"/>
      <c r="K91" s="1366"/>
      <c r="L91" s="1366"/>
      <c r="M91" s="1366"/>
    </row>
    <row r="92" spans="2:15">
      <c r="B92" s="777"/>
      <c r="C92" s="816"/>
      <c r="D92" s="375"/>
      <c r="E92" s="375"/>
      <c r="F92" s="375"/>
      <c r="G92" s="1366"/>
      <c r="H92" s="1366"/>
      <c r="I92" s="1366"/>
      <c r="J92" s="1366"/>
      <c r="K92" s="1366"/>
      <c r="L92" s="1366"/>
      <c r="M92" s="1366"/>
    </row>
    <row r="93" spans="2:15">
      <c r="B93" s="777"/>
      <c r="C93" s="816"/>
      <c r="D93" s="375"/>
      <c r="E93" s="375"/>
      <c r="F93" s="375"/>
      <c r="G93" s="1366"/>
      <c r="H93" s="1366"/>
      <c r="I93" s="1366"/>
      <c r="J93" s="1366"/>
      <c r="K93" s="1366"/>
      <c r="L93" s="1366"/>
      <c r="M93" s="1366"/>
    </row>
    <row r="94" spans="2:15" ht="15">
      <c r="B94" s="798"/>
      <c r="C94" s="1409"/>
      <c r="D94" s="375"/>
      <c r="E94" s="375"/>
      <c r="F94" s="375"/>
      <c r="G94" s="1409"/>
      <c r="H94" s="1409"/>
      <c r="I94" s="1409"/>
      <c r="J94" s="1409"/>
      <c r="K94" s="1409"/>
      <c r="L94" s="1409"/>
      <c r="M94" s="1409"/>
    </row>
    <row r="95" spans="2:15">
      <c r="B95" s="777"/>
      <c r="C95" s="777"/>
      <c r="D95" s="777"/>
      <c r="E95" s="777"/>
      <c r="F95" s="777"/>
      <c r="G95" s="777"/>
      <c r="H95" s="777"/>
      <c r="I95" s="777"/>
      <c r="J95" s="777"/>
      <c r="K95" s="777"/>
      <c r="L95" s="777"/>
      <c r="M95" s="777"/>
    </row>
  </sheetData>
  <pageMargins left="0.7" right="0.7" top="0.75" bottom="0.75" header="0.3" footer="0.3"/>
  <pageSetup orientation="portrait" horizontalDpi="1200" verticalDpi="1200"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I94"/>
  <sheetViews>
    <sheetView showGridLines="0" zoomScale="120" zoomScaleNormal="120" workbookViewId="0">
      <selection activeCell="I25" sqref="I25"/>
    </sheetView>
  </sheetViews>
  <sheetFormatPr baseColWidth="10" defaultColWidth="9.85546875" defaultRowHeight="9"/>
  <cols>
    <col min="1" max="1" width="11" style="857" customWidth="1"/>
    <col min="2" max="2" width="11.140625" style="856" customWidth="1"/>
    <col min="3" max="3" width="10" style="856" customWidth="1"/>
    <col min="4" max="4" width="9.85546875" style="856" customWidth="1"/>
    <col min="5" max="5" width="1.7109375" style="856" customWidth="1"/>
    <col min="6" max="6" width="10.5703125" style="856" customWidth="1"/>
    <col min="7" max="7" width="9" style="856" customWidth="1"/>
    <col min="8" max="8" width="9.7109375" style="856" customWidth="1"/>
    <col min="9" max="16384" width="9.85546875" style="856"/>
  </cols>
  <sheetData>
    <row r="1" spans="1:9" s="855" customFormat="1" ht="13.5" customHeight="1">
      <c r="A1" s="854" t="s">
        <v>835</v>
      </c>
    </row>
    <row r="2" spans="1:9" s="855" customFormat="1" ht="8.1" customHeight="1">
      <c r="A2" s="854"/>
    </row>
    <row r="3" spans="1:9" s="855" customFormat="1" ht="12" customHeight="1">
      <c r="A3" s="1805" t="s">
        <v>836</v>
      </c>
      <c r="B3" s="1805"/>
      <c r="C3" s="1805"/>
      <c r="D3" s="1805"/>
      <c r="E3" s="1805"/>
      <c r="F3" s="1805"/>
      <c r="G3" s="1805"/>
    </row>
    <row r="4" spans="1:9" ht="12" customHeight="1">
      <c r="A4" s="1806" t="s">
        <v>837</v>
      </c>
      <c r="B4" s="1806"/>
      <c r="C4" s="1806"/>
      <c r="D4" s="1806"/>
      <c r="E4" s="1806"/>
      <c r="F4" s="1806"/>
      <c r="G4" s="1806"/>
    </row>
    <row r="5" spans="1:9" ht="8.1" customHeight="1">
      <c r="G5" s="858"/>
      <c r="I5" s="858"/>
    </row>
    <row r="6" spans="1:9" ht="33" customHeight="1">
      <c r="A6" s="1807" t="s">
        <v>838</v>
      </c>
      <c r="B6" s="1809" t="s">
        <v>839</v>
      </c>
      <c r="C6" s="1810"/>
      <c r="D6" s="1810"/>
      <c r="E6" s="859"/>
      <c r="F6" s="1810" t="s">
        <v>840</v>
      </c>
      <c r="G6" s="1810"/>
    </row>
    <row r="7" spans="1:9" ht="27" customHeight="1">
      <c r="A7" s="1808"/>
      <c r="B7" s="860" t="s">
        <v>841</v>
      </c>
      <c r="C7" s="861" t="s">
        <v>842</v>
      </c>
      <c r="D7" s="861" t="s">
        <v>843</v>
      </c>
      <c r="E7" s="861"/>
      <c r="F7" s="861" t="s">
        <v>844</v>
      </c>
      <c r="G7" s="861" t="s">
        <v>845</v>
      </c>
    </row>
    <row r="8" spans="1:9" ht="8.1" customHeight="1">
      <c r="A8" s="862"/>
    </row>
    <row r="9" spans="1:9" ht="8.1" hidden="1" customHeight="1">
      <c r="A9" s="862">
        <v>1990</v>
      </c>
      <c r="B9" s="863">
        <v>21764515</v>
      </c>
      <c r="C9" s="863">
        <v>10926218</v>
      </c>
      <c r="D9" s="863">
        <v>10838297</v>
      </c>
      <c r="E9" s="863"/>
      <c r="F9" s="864"/>
      <c r="G9" s="865">
        <v>2.0855273924345719</v>
      </c>
    </row>
    <row r="10" spans="1:9" ht="8.1" hidden="1" customHeight="1">
      <c r="A10" s="862">
        <v>1991</v>
      </c>
      <c r="B10" s="863">
        <v>22203931</v>
      </c>
      <c r="C10" s="863">
        <v>11145981</v>
      </c>
      <c r="D10" s="863">
        <v>11057950</v>
      </c>
      <c r="E10" s="863"/>
      <c r="F10" s="864"/>
      <c r="G10" s="865">
        <v>2.0189560851689103</v>
      </c>
    </row>
    <row r="11" spans="1:9" ht="8.1" hidden="1" customHeight="1">
      <c r="A11" s="862">
        <v>1992</v>
      </c>
      <c r="B11" s="863">
        <v>22640305</v>
      </c>
      <c r="C11" s="863">
        <v>11365008</v>
      </c>
      <c r="D11" s="863">
        <v>11275297</v>
      </c>
      <c r="E11" s="863"/>
      <c r="F11" s="865">
        <v>1.9119965749553991</v>
      </c>
      <c r="G11" s="865">
        <v>1.9653006487905245</v>
      </c>
    </row>
    <row r="12" spans="1:9" ht="8.1" hidden="1" customHeight="1">
      <c r="A12" s="862">
        <v>1993</v>
      </c>
      <c r="B12" s="863">
        <v>23073150</v>
      </c>
      <c r="C12" s="863">
        <v>11582635</v>
      </c>
      <c r="D12" s="863">
        <v>11490515</v>
      </c>
      <c r="E12" s="863"/>
      <c r="F12" s="864"/>
      <c r="G12" s="865">
        <v>1.9118337849247213</v>
      </c>
    </row>
    <row r="13" spans="1:9" ht="8.1" hidden="1" customHeight="1">
      <c r="A13" s="862">
        <v>1994</v>
      </c>
      <c r="B13" s="863">
        <v>23501974</v>
      </c>
      <c r="C13" s="863">
        <v>11798220</v>
      </c>
      <c r="D13" s="863">
        <v>11703754</v>
      </c>
      <c r="E13" s="863"/>
      <c r="F13" s="864"/>
      <c r="G13" s="865">
        <v>1.8585412048203187</v>
      </c>
    </row>
    <row r="14" spans="1:9" ht="8.1" hidden="1" customHeight="1">
      <c r="A14" s="862">
        <v>1995</v>
      </c>
      <c r="B14" s="863">
        <v>23926300</v>
      </c>
      <c r="C14" s="863">
        <v>12011116</v>
      </c>
      <c r="D14" s="863">
        <v>11915184</v>
      </c>
      <c r="E14" s="863"/>
      <c r="F14" s="864"/>
      <c r="G14" s="865">
        <v>1.8054908919565626</v>
      </c>
    </row>
    <row r="15" spans="1:9" ht="8.1" hidden="1" customHeight="1">
      <c r="A15" s="862">
        <v>1996</v>
      </c>
      <c r="B15" s="863">
        <v>24348132</v>
      </c>
      <c r="C15" s="863">
        <v>12222325</v>
      </c>
      <c r="D15" s="863">
        <v>12125807</v>
      </c>
      <c r="E15" s="863"/>
      <c r="F15" s="864"/>
      <c r="G15" s="865">
        <v>1.7630473579283157</v>
      </c>
    </row>
    <row r="16" spans="1:9" ht="8.1" hidden="1" customHeight="1">
      <c r="A16" s="862">
        <v>1997</v>
      </c>
      <c r="B16" s="863">
        <v>24767794</v>
      </c>
      <c r="C16" s="863">
        <v>12432273</v>
      </c>
      <c r="D16" s="863">
        <v>12335521</v>
      </c>
      <c r="E16" s="863"/>
      <c r="F16" s="865">
        <v>1.6634200108967656</v>
      </c>
      <c r="G16" s="865">
        <v>1.7235901300354461</v>
      </c>
    </row>
    <row r="17" spans="1:7" ht="8.1" hidden="1" customHeight="1">
      <c r="A17" s="862">
        <v>1998</v>
      </c>
      <c r="B17" s="863">
        <v>25182269</v>
      </c>
      <c r="C17" s="863">
        <v>12639465</v>
      </c>
      <c r="D17" s="863">
        <v>12542804</v>
      </c>
      <c r="E17" s="863"/>
      <c r="F17" s="864"/>
      <c r="G17" s="865">
        <v>1.6734433433998941</v>
      </c>
    </row>
    <row r="18" spans="1:7" ht="8.1" hidden="1" customHeight="1">
      <c r="A18" s="862">
        <v>1999</v>
      </c>
      <c r="B18" s="863">
        <v>25588546</v>
      </c>
      <c r="C18" s="863">
        <v>12842387</v>
      </c>
      <c r="D18" s="863">
        <v>12746159</v>
      </c>
      <c r="E18" s="863"/>
      <c r="F18" s="864"/>
      <c r="G18" s="865">
        <v>1.6133454852698126</v>
      </c>
    </row>
    <row r="19" spans="1:7" ht="11.1" customHeight="1">
      <c r="A19" s="862">
        <v>2000</v>
      </c>
      <c r="B19" s="863">
        <v>25983588</v>
      </c>
      <c r="C19" s="863">
        <v>13039529</v>
      </c>
      <c r="D19" s="863">
        <v>12944059</v>
      </c>
      <c r="E19" s="863"/>
      <c r="F19" s="864"/>
      <c r="G19" s="865">
        <v>1.5438235529287248</v>
      </c>
    </row>
    <row r="20" spans="1:7" ht="11.1" customHeight="1">
      <c r="A20" s="862">
        <v>2001</v>
      </c>
      <c r="B20" s="863">
        <v>26366533</v>
      </c>
      <c r="C20" s="863">
        <v>13230410</v>
      </c>
      <c r="D20" s="863">
        <v>13136123</v>
      </c>
      <c r="E20" s="863"/>
      <c r="F20" s="864"/>
      <c r="G20" s="865">
        <v>1.4737956898023485</v>
      </c>
    </row>
    <row r="21" spans="1:7" ht="11.1" customHeight="1">
      <c r="A21" s="862">
        <v>2002</v>
      </c>
      <c r="B21" s="866">
        <v>26739379</v>
      </c>
      <c r="C21" s="866">
        <v>13416024</v>
      </c>
      <c r="D21" s="866">
        <v>13323355</v>
      </c>
      <c r="E21" s="866"/>
      <c r="F21" s="865">
        <v>1.3682744670666214</v>
      </c>
      <c r="G21" s="865">
        <v>1.4140880790053156</v>
      </c>
    </row>
    <row r="22" spans="1:7" ht="11.1" customHeight="1">
      <c r="A22" s="862">
        <v>2003</v>
      </c>
      <c r="B22" s="866">
        <v>27103457</v>
      </c>
      <c r="C22" s="866">
        <v>13597121</v>
      </c>
      <c r="D22" s="866">
        <v>13506336</v>
      </c>
      <c r="E22" s="866"/>
      <c r="F22" s="864"/>
      <c r="G22" s="865">
        <v>1.3615798631673615</v>
      </c>
    </row>
    <row r="23" spans="1:7" ht="11.1" customHeight="1">
      <c r="A23" s="862">
        <v>2004</v>
      </c>
      <c r="B23" s="866">
        <v>27460073</v>
      </c>
      <c r="C23" s="866">
        <v>13774414</v>
      </c>
      <c r="D23" s="866">
        <v>13685659</v>
      </c>
      <c r="E23" s="866"/>
      <c r="F23" s="864"/>
      <c r="G23" s="865">
        <v>1.3157583551057783</v>
      </c>
    </row>
    <row r="24" spans="1:7" ht="11.1" customHeight="1">
      <c r="A24" s="862">
        <v>2005</v>
      </c>
      <c r="B24" s="866">
        <v>27810540</v>
      </c>
      <c r="C24" s="866">
        <v>13948639</v>
      </c>
      <c r="D24" s="866">
        <v>13861901</v>
      </c>
      <c r="E24" s="866"/>
      <c r="F24" s="864"/>
      <c r="G24" s="865">
        <v>1.2762711883540945</v>
      </c>
    </row>
    <row r="25" spans="1:7" ht="11.1" customHeight="1">
      <c r="A25" s="862">
        <v>2006</v>
      </c>
      <c r="B25" s="866">
        <v>28151443</v>
      </c>
      <c r="C25" s="866">
        <v>14118112</v>
      </c>
      <c r="D25" s="866">
        <v>14033331</v>
      </c>
      <c r="E25" s="866"/>
      <c r="F25" s="864"/>
      <c r="G25" s="865">
        <v>1.2258123161802859</v>
      </c>
    </row>
    <row r="26" spans="1:7" ht="11.1" customHeight="1">
      <c r="A26" s="862">
        <v>2007</v>
      </c>
      <c r="B26" s="866">
        <v>28481901</v>
      </c>
      <c r="C26" s="866">
        <v>14282346</v>
      </c>
      <c r="D26" s="866">
        <v>14199555</v>
      </c>
      <c r="E26" s="866"/>
      <c r="F26" s="865">
        <v>1.1603607491013523</v>
      </c>
      <c r="G26" s="865">
        <v>1.1738581215890109</v>
      </c>
    </row>
    <row r="27" spans="1:7" ht="11.1" customHeight="1">
      <c r="A27" s="862">
        <v>2008</v>
      </c>
      <c r="B27" s="866">
        <v>28807034</v>
      </c>
      <c r="C27" s="866">
        <v>14443858</v>
      </c>
      <c r="D27" s="866">
        <v>14363176</v>
      </c>
      <c r="E27" s="866"/>
      <c r="F27" s="864"/>
      <c r="G27" s="865">
        <v>1.1415424834178012</v>
      </c>
    </row>
    <row r="28" spans="1:7" ht="11.1" customHeight="1">
      <c r="A28" s="862">
        <v>2009</v>
      </c>
      <c r="B28" s="866">
        <v>29132013</v>
      </c>
      <c r="C28" s="866">
        <v>14605206</v>
      </c>
      <c r="D28" s="866">
        <v>14526807</v>
      </c>
      <c r="E28" s="866"/>
      <c r="F28" s="864"/>
      <c r="G28" s="865">
        <v>1.1281237769914076</v>
      </c>
    </row>
    <row r="29" spans="1:7" ht="11.1" customHeight="1">
      <c r="A29" s="862">
        <v>2010</v>
      </c>
      <c r="B29" s="863">
        <v>29461933</v>
      </c>
      <c r="C29" s="863">
        <v>14768901</v>
      </c>
      <c r="D29" s="863">
        <v>14693032</v>
      </c>
      <c r="E29" s="863"/>
      <c r="F29" s="864"/>
      <c r="G29" s="865">
        <v>1.1324998378931195</v>
      </c>
    </row>
    <row r="30" spans="1:7" ht="11.1" customHeight="1">
      <c r="A30" s="862">
        <v>2011</v>
      </c>
      <c r="B30" s="863">
        <v>29797694</v>
      </c>
      <c r="C30" s="863">
        <v>14935396</v>
      </c>
      <c r="D30" s="863">
        <v>14862298</v>
      </c>
      <c r="E30" s="863"/>
      <c r="F30" s="865"/>
      <c r="G30" s="865">
        <v>1.1396434850354131</v>
      </c>
    </row>
    <row r="31" spans="1:7" ht="11.1" customHeight="1">
      <c r="A31" s="862">
        <v>2012</v>
      </c>
      <c r="B31" s="863">
        <v>30135875</v>
      </c>
      <c r="C31" s="863">
        <v>15103003</v>
      </c>
      <c r="D31" s="863">
        <v>15032872</v>
      </c>
      <c r="E31" s="863"/>
      <c r="F31" s="865">
        <v>1.1216026291823722</v>
      </c>
      <c r="G31" s="865">
        <v>1.1349233937364422</v>
      </c>
    </row>
    <row r="32" spans="1:7" ht="11.1" customHeight="1">
      <c r="A32" s="862">
        <v>2013</v>
      </c>
      <c r="B32" s="863">
        <v>30475144</v>
      </c>
      <c r="C32" s="863">
        <v>15271062</v>
      </c>
      <c r="D32" s="863">
        <v>15204082</v>
      </c>
      <c r="E32" s="863"/>
      <c r="F32" s="865"/>
      <c r="G32" s="865">
        <v>1.1257977410644271</v>
      </c>
    </row>
    <row r="33" spans="1:7" ht="11.1" customHeight="1">
      <c r="A33" s="862">
        <v>2014</v>
      </c>
      <c r="B33" s="863">
        <v>30814175</v>
      </c>
      <c r="C33" s="863">
        <v>15438887</v>
      </c>
      <c r="D33" s="863">
        <v>15375288</v>
      </c>
      <c r="E33" s="863"/>
      <c r="F33" s="865"/>
      <c r="G33" s="865">
        <v>1.1124836686579709</v>
      </c>
    </row>
    <row r="34" spans="1:7" ht="11.1" customHeight="1">
      <c r="A34" s="862">
        <v>2015</v>
      </c>
      <c r="B34" s="863">
        <v>31151643</v>
      </c>
      <c r="C34" s="863">
        <v>15605814</v>
      </c>
      <c r="D34" s="863">
        <v>15545829</v>
      </c>
      <c r="E34" s="863"/>
      <c r="F34" s="865"/>
      <c r="G34" s="865">
        <v>1.0951712969761385</v>
      </c>
    </row>
    <row r="35" spans="1:7" ht="11.1" customHeight="1">
      <c r="A35" s="862">
        <v>2016</v>
      </c>
      <c r="B35" s="863">
        <v>31488625</v>
      </c>
      <c r="C35" s="863">
        <v>15772385</v>
      </c>
      <c r="D35" s="863">
        <v>15716240</v>
      </c>
      <c r="E35" s="863"/>
      <c r="F35" s="865"/>
      <c r="G35" s="865">
        <v>1.0817471168374615</v>
      </c>
    </row>
    <row r="36" spans="1:7" ht="11.1" customHeight="1">
      <c r="A36" s="862">
        <v>2017</v>
      </c>
      <c r="B36" s="863">
        <v>31826018</v>
      </c>
      <c r="C36" s="863">
        <v>15939059</v>
      </c>
      <c r="D36" s="863">
        <v>15886959</v>
      </c>
      <c r="E36" s="863"/>
      <c r="F36" s="865">
        <v>1.0515679807745038</v>
      </c>
      <c r="G36" s="865">
        <v>1.0714758107094324</v>
      </c>
    </row>
    <row r="37" spans="1:7" ht="11.1" customHeight="1">
      <c r="A37" s="862">
        <v>2018</v>
      </c>
      <c r="B37" s="863">
        <v>32162184</v>
      </c>
      <c r="C37" s="863">
        <v>16105008</v>
      </c>
      <c r="D37" s="863">
        <v>16057176</v>
      </c>
      <c r="E37" s="863"/>
      <c r="F37" s="865"/>
      <c r="G37" s="865">
        <v>1.0562615781842366</v>
      </c>
    </row>
    <row r="38" spans="1:7" ht="11.1" customHeight="1">
      <c r="A38" s="862">
        <v>2019</v>
      </c>
      <c r="B38" s="863">
        <v>32495510</v>
      </c>
      <c r="C38" s="863">
        <v>16269416</v>
      </c>
      <c r="D38" s="863">
        <v>16226094</v>
      </c>
      <c r="E38" s="863"/>
      <c r="F38" s="865"/>
      <c r="G38" s="865">
        <v>1.0363910610050597</v>
      </c>
    </row>
    <row r="39" spans="1:7" ht="11.1" customHeight="1">
      <c r="A39" s="862">
        <v>2020</v>
      </c>
      <c r="B39" s="863">
        <v>32824358</v>
      </c>
      <c r="C39" s="863">
        <v>16431465</v>
      </c>
      <c r="D39" s="863">
        <v>16392893</v>
      </c>
      <c r="E39" s="863"/>
      <c r="F39" s="865"/>
      <c r="G39" s="865">
        <v>1.0119798089028409</v>
      </c>
    </row>
    <row r="40" spans="1:7" ht="11.1" customHeight="1">
      <c r="A40" s="862">
        <v>2021</v>
      </c>
      <c r="B40" s="863">
        <v>33149016</v>
      </c>
      <c r="C40" s="863">
        <v>16591315</v>
      </c>
      <c r="D40" s="863">
        <v>16557701</v>
      </c>
      <c r="E40" s="863"/>
      <c r="F40" s="865"/>
      <c r="G40" s="865">
        <v>0.98907646571488872</v>
      </c>
    </row>
    <row r="41" spans="1:7" ht="11.1" customHeight="1">
      <c r="A41" s="862">
        <v>2022</v>
      </c>
      <c r="B41" s="863">
        <v>33470569</v>
      </c>
      <c r="C41" s="863">
        <v>16749517</v>
      </c>
      <c r="D41" s="863">
        <v>16721052</v>
      </c>
      <c r="E41" s="863"/>
      <c r="F41" s="865">
        <v>0.94939643267246687</v>
      </c>
      <c r="G41" s="865">
        <v>0.97002276025328626</v>
      </c>
    </row>
    <row r="42" spans="1:7" ht="11.1" customHeight="1">
      <c r="A42" s="862">
        <v>2023</v>
      </c>
      <c r="B42" s="863">
        <v>33788589</v>
      </c>
      <c r="C42" s="863">
        <v>16905832</v>
      </c>
      <c r="D42" s="863">
        <v>16882757</v>
      </c>
      <c r="E42" s="863"/>
      <c r="F42" s="865"/>
      <c r="G42" s="865">
        <v>0.95014817345948632</v>
      </c>
    </row>
    <row r="43" spans="1:7" ht="11.1" customHeight="1">
      <c r="A43" s="862">
        <v>2024</v>
      </c>
      <c r="B43" s="863">
        <v>34102668</v>
      </c>
      <c r="C43" s="863">
        <v>17060003</v>
      </c>
      <c r="D43" s="863">
        <v>17042665</v>
      </c>
      <c r="E43" s="863"/>
      <c r="F43" s="865"/>
      <c r="G43" s="865">
        <v>0.92954162720437772</v>
      </c>
    </row>
    <row r="44" spans="1:7" ht="11.1" customHeight="1">
      <c r="A44" s="862">
        <v>2025</v>
      </c>
      <c r="B44" s="863">
        <v>34412393</v>
      </c>
      <c r="C44" s="863">
        <v>17211808</v>
      </c>
      <c r="D44" s="863">
        <v>17200585</v>
      </c>
      <c r="E44" s="863"/>
      <c r="F44" s="865"/>
      <c r="G44" s="865">
        <v>0.90821339843556448</v>
      </c>
    </row>
    <row r="45" spans="1:7" ht="11.1" customHeight="1">
      <c r="A45" s="862">
        <v>2026</v>
      </c>
      <c r="B45" s="863">
        <v>34718378</v>
      </c>
      <c r="C45" s="863">
        <v>17361555</v>
      </c>
      <c r="D45" s="863">
        <v>17356823</v>
      </c>
      <c r="E45" s="863"/>
      <c r="F45" s="865"/>
      <c r="G45" s="865">
        <v>0.8891709448976659</v>
      </c>
    </row>
    <row r="46" spans="1:7" ht="11.1" customHeight="1">
      <c r="A46" s="862">
        <v>2027</v>
      </c>
      <c r="B46" s="863">
        <v>35020909</v>
      </c>
      <c r="C46" s="863">
        <v>17509419</v>
      </c>
      <c r="D46" s="863">
        <v>17511490</v>
      </c>
      <c r="E46" s="863"/>
      <c r="F46" s="865">
        <v>0.84911627361903275</v>
      </c>
      <c r="G46" s="865">
        <v>0.87138575425385056</v>
      </c>
    </row>
    <row r="47" spans="1:7" ht="11.1" customHeight="1">
      <c r="A47" s="862">
        <v>2028</v>
      </c>
      <c r="B47" s="863">
        <v>35319039</v>
      </c>
      <c r="C47" s="863">
        <v>17654900</v>
      </c>
      <c r="D47" s="863">
        <v>17664139</v>
      </c>
      <c r="E47" s="863"/>
      <c r="F47" s="865"/>
      <c r="G47" s="865">
        <v>0.85129143849465017</v>
      </c>
    </row>
    <row r="48" spans="1:7" ht="11.1" customHeight="1">
      <c r="A48" s="862">
        <v>2029</v>
      </c>
      <c r="B48" s="863">
        <v>35611848</v>
      </c>
      <c r="C48" s="863">
        <v>17797523</v>
      </c>
      <c r="D48" s="863">
        <v>17814325</v>
      </c>
      <c r="E48" s="863"/>
      <c r="F48" s="865"/>
      <c r="G48" s="865">
        <v>0.8290401106326728</v>
      </c>
    </row>
    <row r="49" spans="1:7" ht="11.1" customHeight="1">
      <c r="A49" s="862">
        <v>2030</v>
      </c>
      <c r="B49" s="863">
        <v>35898422</v>
      </c>
      <c r="C49" s="863">
        <v>17936806</v>
      </c>
      <c r="D49" s="863">
        <v>17961616</v>
      </c>
      <c r="E49" s="863"/>
      <c r="F49" s="865"/>
      <c r="G49" s="865">
        <v>0.80471532957233638</v>
      </c>
    </row>
    <row r="50" spans="1:7" ht="11.1" customHeight="1">
      <c r="A50" s="862">
        <v>2031</v>
      </c>
      <c r="B50" s="863">
        <v>36179425</v>
      </c>
      <c r="C50" s="863">
        <v>18073072</v>
      </c>
      <c r="D50" s="863">
        <v>18106353</v>
      </c>
      <c r="E50" s="863"/>
      <c r="F50" s="865"/>
      <c r="G50" s="865">
        <v>0.78277256866610134</v>
      </c>
    </row>
    <row r="51" spans="1:7" ht="11.1" customHeight="1">
      <c r="A51" s="862">
        <v>2032</v>
      </c>
      <c r="B51" s="863">
        <v>36455488</v>
      </c>
      <c r="C51" s="863">
        <v>18206650</v>
      </c>
      <c r="D51" s="863">
        <v>18248838</v>
      </c>
      <c r="E51" s="863"/>
      <c r="F51" s="865">
        <v>0.73851638304291978</v>
      </c>
      <c r="G51" s="865">
        <v>0.76303866078579752</v>
      </c>
    </row>
    <row r="52" spans="1:7" ht="11.1" customHeight="1">
      <c r="A52" s="862">
        <v>2033</v>
      </c>
      <c r="B52" s="863">
        <v>36725576</v>
      </c>
      <c r="C52" s="863">
        <v>18337037</v>
      </c>
      <c r="D52" s="863">
        <v>18388539</v>
      </c>
      <c r="E52" s="863"/>
      <c r="F52" s="865"/>
      <c r="G52" s="865">
        <v>0.74087062008332261</v>
      </c>
    </row>
    <row r="53" spans="1:7" ht="11.1" customHeight="1">
      <c r="A53" s="862">
        <v>2034</v>
      </c>
      <c r="B53" s="863">
        <v>36988666</v>
      </c>
      <c r="C53" s="863">
        <v>18463754</v>
      </c>
      <c r="D53" s="863">
        <v>18524912</v>
      </c>
      <c r="E53" s="863"/>
      <c r="F53" s="865"/>
      <c r="G53" s="865">
        <v>0.71636725316439609</v>
      </c>
    </row>
    <row r="54" spans="1:7" ht="11.1" customHeight="1">
      <c r="A54" s="862">
        <v>2035</v>
      </c>
      <c r="B54" s="863">
        <v>37243725</v>
      </c>
      <c r="C54" s="863">
        <v>18586288</v>
      </c>
      <c r="D54" s="863">
        <v>18657437</v>
      </c>
      <c r="E54" s="863"/>
      <c r="F54" s="865"/>
      <c r="G54" s="865">
        <v>0.68955987761223358</v>
      </c>
    </row>
    <row r="55" spans="1:7" ht="11.1" customHeight="1">
      <c r="A55" s="862">
        <v>2036</v>
      </c>
      <c r="B55" s="863">
        <v>37491075</v>
      </c>
      <c r="C55" s="863">
        <v>18704797</v>
      </c>
      <c r="D55" s="863">
        <v>18786278</v>
      </c>
      <c r="E55" s="863"/>
      <c r="F55" s="865"/>
      <c r="G55" s="865">
        <v>0.66413872404009755</v>
      </c>
    </row>
    <row r="56" spans="1:7" ht="11.1" customHeight="1">
      <c r="A56" s="862">
        <v>2037</v>
      </c>
      <c r="B56" s="863">
        <v>37731399</v>
      </c>
      <c r="C56" s="863">
        <v>18819602</v>
      </c>
      <c r="D56" s="863">
        <v>18911797</v>
      </c>
      <c r="E56" s="863"/>
      <c r="F56" s="865">
        <v>0.61622142535677771</v>
      </c>
      <c r="G56" s="865">
        <v>0.64101656194173184</v>
      </c>
    </row>
    <row r="57" spans="1:7" ht="11.1" customHeight="1">
      <c r="A57" s="862">
        <v>2038</v>
      </c>
      <c r="B57" s="863">
        <v>37964224</v>
      </c>
      <c r="C57" s="863">
        <v>18930491</v>
      </c>
      <c r="D57" s="863">
        <v>19033733</v>
      </c>
      <c r="E57" s="863"/>
      <c r="F57" s="865"/>
      <c r="G57" s="865">
        <v>0.61705901761024418</v>
      </c>
    </row>
    <row r="58" spans="1:7" ht="11.1" customHeight="1">
      <c r="A58" s="862">
        <v>2039</v>
      </c>
      <c r="B58" s="863">
        <v>38189086</v>
      </c>
      <c r="C58" s="863">
        <v>19037259</v>
      </c>
      <c r="D58" s="863">
        <v>19151827</v>
      </c>
      <c r="E58" s="863"/>
      <c r="F58" s="865"/>
      <c r="G58" s="865">
        <v>0.59229973988141893</v>
      </c>
    </row>
    <row r="59" spans="1:7" ht="11.1" customHeight="1">
      <c r="A59" s="862">
        <v>2040</v>
      </c>
      <c r="B59" s="863">
        <v>38405474</v>
      </c>
      <c r="C59" s="863">
        <v>19139674</v>
      </c>
      <c r="D59" s="863">
        <v>19265800</v>
      </c>
      <c r="E59" s="863"/>
      <c r="F59" s="865"/>
      <c r="G59" s="865">
        <v>0.56662262092368465</v>
      </c>
    </row>
    <row r="60" spans="1:7" ht="11.1" customHeight="1">
      <c r="A60" s="862">
        <v>2041</v>
      </c>
      <c r="B60" s="863">
        <v>38613529</v>
      </c>
      <c r="C60" s="863">
        <v>19237788</v>
      </c>
      <c r="D60" s="863">
        <v>19375741</v>
      </c>
      <c r="E60" s="863"/>
      <c r="F60" s="865"/>
      <c r="G60" s="865">
        <v>0.54173267071251363</v>
      </c>
    </row>
    <row r="61" spans="1:7" ht="11.1" customHeight="1">
      <c r="A61" s="862">
        <v>2042</v>
      </c>
      <c r="B61" s="863">
        <v>38813569</v>
      </c>
      <c r="C61" s="863">
        <v>19331749</v>
      </c>
      <c r="D61" s="863">
        <v>19481820</v>
      </c>
      <c r="E61" s="863"/>
      <c r="F61" s="865">
        <v>0.49415525106983882</v>
      </c>
      <c r="G61" s="865">
        <v>0.51805676709839599</v>
      </c>
    </row>
    <row r="62" spans="1:7" ht="11.1" customHeight="1">
      <c r="A62" s="862">
        <v>2043</v>
      </c>
      <c r="B62" s="863">
        <v>39005416</v>
      </c>
      <c r="C62" s="863">
        <v>19421483</v>
      </c>
      <c r="D62" s="863">
        <v>19583933</v>
      </c>
      <c r="E62" s="863"/>
      <c r="F62" s="865"/>
      <c r="G62" s="865">
        <v>0.49427817369744886</v>
      </c>
    </row>
    <row r="63" spans="1:7" ht="11.1" customHeight="1">
      <c r="A63" s="862">
        <v>2044</v>
      </c>
      <c r="B63" s="863">
        <v>39188891</v>
      </c>
      <c r="C63" s="863">
        <v>19506927</v>
      </c>
      <c r="D63" s="863">
        <v>19681964</v>
      </c>
      <c r="E63" s="863"/>
      <c r="F63" s="865"/>
      <c r="G63" s="865">
        <v>0.47038339496239256</v>
      </c>
    </row>
    <row r="64" spans="1:7" ht="11.1" customHeight="1">
      <c r="A64" s="862">
        <v>2045</v>
      </c>
      <c r="B64" s="863">
        <v>39363812</v>
      </c>
      <c r="C64" s="863">
        <v>19588014</v>
      </c>
      <c r="D64" s="863">
        <v>19775798</v>
      </c>
      <c r="E64" s="863"/>
      <c r="F64" s="865"/>
      <c r="G64" s="865">
        <v>0.44635353421969004</v>
      </c>
    </row>
    <row r="65" spans="1:7" ht="11.1" customHeight="1">
      <c r="A65" s="862">
        <v>2046</v>
      </c>
      <c r="B65" s="863">
        <v>39530305</v>
      </c>
      <c r="C65" s="863">
        <v>19664786</v>
      </c>
      <c r="D65" s="863">
        <v>19865519</v>
      </c>
      <c r="E65" s="863"/>
      <c r="F65" s="865"/>
      <c r="G65" s="865">
        <v>0.42295954467010954</v>
      </c>
    </row>
    <row r="66" spans="1:7" ht="11.1" customHeight="1">
      <c r="A66" s="862">
        <v>2047</v>
      </c>
      <c r="B66" s="863">
        <v>39688488</v>
      </c>
      <c r="C66" s="863">
        <v>19737293</v>
      </c>
      <c r="D66" s="863">
        <v>19951195</v>
      </c>
      <c r="E66" s="863"/>
      <c r="F66" s="865">
        <v>0.37697861532945964</v>
      </c>
      <c r="G66" s="865">
        <v>0.40015628515894797</v>
      </c>
    </row>
    <row r="67" spans="1:7" ht="11.1" customHeight="1">
      <c r="A67" s="862">
        <v>2048</v>
      </c>
      <c r="B67" s="863">
        <v>39838182</v>
      </c>
      <c r="C67" s="863">
        <v>19805466</v>
      </c>
      <c r="D67" s="863">
        <v>20032716</v>
      </c>
      <c r="E67" s="863"/>
      <c r="F67" s="865"/>
      <c r="G67" s="865">
        <v>0.37717234277103717</v>
      </c>
    </row>
    <row r="68" spans="1:7" ht="11.1" customHeight="1">
      <c r="A68" s="862">
        <v>2049</v>
      </c>
      <c r="B68" s="863">
        <v>39979209</v>
      </c>
      <c r="C68" s="863">
        <v>19869231</v>
      </c>
      <c r="D68" s="863">
        <v>20109978</v>
      </c>
      <c r="E68" s="863"/>
      <c r="F68" s="865"/>
      <c r="G68" s="865">
        <v>0.35399958763178141</v>
      </c>
    </row>
    <row r="69" spans="1:7" ht="11.1" customHeight="1">
      <c r="A69" s="862">
        <v>2050</v>
      </c>
      <c r="B69" s="863">
        <v>40111393</v>
      </c>
      <c r="C69" s="863">
        <v>19928528</v>
      </c>
      <c r="D69" s="863">
        <v>20182865</v>
      </c>
      <c r="E69" s="863"/>
      <c r="F69" s="865"/>
      <c r="G69" s="865">
        <v>0.33063185417199215</v>
      </c>
    </row>
    <row r="70" spans="1:7" ht="5.0999999999999996" customHeight="1">
      <c r="A70" s="867"/>
      <c r="B70" s="868"/>
      <c r="C70" s="868"/>
      <c r="D70" s="868"/>
      <c r="E70" s="868"/>
      <c r="F70" s="868"/>
      <c r="G70" s="868"/>
    </row>
    <row r="71" spans="1:7" ht="25.5" customHeight="1">
      <c r="A71" s="1803" t="s">
        <v>846</v>
      </c>
      <c r="B71" s="1804"/>
      <c r="C71" s="1804"/>
      <c r="D71" s="1804"/>
      <c r="E71" s="1804"/>
      <c r="F71" s="1804"/>
      <c r="G71" s="1804"/>
    </row>
    <row r="94" spans="1:1">
      <c r="A94" s="869"/>
    </row>
  </sheetData>
  <mergeCells count="6">
    <mergeCell ref="A71:G71"/>
    <mergeCell ref="A3:G3"/>
    <mergeCell ref="A4:G4"/>
    <mergeCell ref="A6:A7"/>
    <mergeCell ref="B6:D6"/>
    <mergeCell ref="F6:G6"/>
  </mergeCells>
  <pageMargins left="0.75" right="0.75" top="1" bottom="1" header="0" footer="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U13"/>
  <sheetViews>
    <sheetView showGridLines="0" workbookViewId="0">
      <selection activeCell="I20" sqref="I20"/>
    </sheetView>
  </sheetViews>
  <sheetFormatPr baseColWidth="10" defaultColWidth="9.140625" defaultRowHeight="12.75"/>
  <cols>
    <col min="1" max="3" width="9.140625" style="1188"/>
    <col min="4" max="8" width="11.28515625" style="1188" bestFit="1" customWidth="1"/>
    <col min="9" max="21" width="12.85546875" style="1188" bestFit="1" customWidth="1"/>
    <col min="22" max="16384" width="9.140625" style="1188"/>
  </cols>
  <sheetData>
    <row r="1" spans="1:21">
      <c r="A1" s="1811" t="s">
        <v>847</v>
      </c>
      <c r="B1" s="1812"/>
      <c r="C1" s="1812"/>
    </row>
    <row r="2" spans="1:21">
      <c r="A2" s="1189"/>
    </row>
    <row r="3" spans="1:21">
      <c r="A3" s="1190" t="s">
        <v>848</v>
      </c>
      <c r="B3" s="1190" t="s">
        <v>849</v>
      </c>
      <c r="C3" s="1190" t="s">
        <v>850</v>
      </c>
      <c r="D3" s="1190" t="s">
        <v>851</v>
      </c>
      <c r="E3" s="1190" t="s">
        <v>852</v>
      </c>
      <c r="F3" s="1190" t="s">
        <v>853</v>
      </c>
      <c r="G3" s="1190" t="s">
        <v>854</v>
      </c>
      <c r="H3" s="1190" t="s">
        <v>855</v>
      </c>
      <c r="I3" s="1190" t="s">
        <v>856</v>
      </c>
      <c r="J3" s="1190" t="s">
        <v>857</v>
      </c>
      <c r="K3" s="1190" t="s">
        <v>858</v>
      </c>
      <c r="L3" s="1190" t="s">
        <v>859</v>
      </c>
      <c r="M3" s="1190" t="s">
        <v>860</v>
      </c>
      <c r="N3" s="1190" t="s">
        <v>861</v>
      </c>
      <c r="O3" s="1190" t="s">
        <v>862</v>
      </c>
      <c r="P3" s="1190" t="s">
        <v>863</v>
      </c>
      <c r="Q3" s="1190" t="s">
        <v>864</v>
      </c>
      <c r="R3" s="1190" t="s">
        <v>691</v>
      </c>
      <c r="S3" s="1190" t="s">
        <v>690</v>
      </c>
      <c r="T3" s="1190" t="s">
        <v>689</v>
      </c>
      <c r="U3" s="1190" t="s">
        <v>688</v>
      </c>
    </row>
    <row r="4" spans="1:21">
      <c r="A4" s="1188" t="s">
        <v>865</v>
      </c>
      <c r="B4" s="1188" t="s">
        <v>866</v>
      </c>
      <c r="C4" s="1188" t="s">
        <v>867</v>
      </c>
    </row>
    <row r="5" spans="1:21">
      <c r="A5" s="1188" t="s">
        <v>865</v>
      </c>
      <c r="B5" s="1188" t="s">
        <v>868</v>
      </c>
      <c r="C5" s="1188" t="s">
        <v>867</v>
      </c>
    </row>
    <row r="6" spans="1:21">
      <c r="A6" s="1188" t="s">
        <v>865</v>
      </c>
      <c r="B6" s="1188" t="s">
        <v>869</v>
      </c>
      <c r="C6" s="1188" t="s">
        <v>870</v>
      </c>
      <c r="D6" s="1191">
        <v>556246.70629300002</v>
      </c>
      <c r="E6" s="1191">
        <v>524209.06122899998</v>
      </c>
      <c r="F6" s="1191">
        <v>653362.48620299995</v>
      </c>
      <c r="G6" s="1191">
        <v>756795.68209599995</v>
      </c>
      <c r="H6" s="1191">
        <v>844509.80254499998</v>
      </c>
      <c r="I6" s="1191">
        <v>1110801.6363299999</v>
      </c>
      <c r="J6" s="1191">
        <v>1185424.211996</v>
      </c>
      <c r="K6" s="1191">
        <v>1179689.0086000001</v>
      </c>
      <c r="L6" s="1191">
        <v>1199942.544213</v>
      </c>
      <c r="M6" s="1191">
        <v>1283010.916652</v>
      </c>
      <c r="N6" s="1191">
        <v>1258311.768871</v>
      </c>
      <c r="O6" s="1191">
        <v>1319547.112773</v>
      </c>
      <c r="P6" s="1191">
        <v>1314089.256335</v>
      </c>
      <c r="Q6" s="1191">
        <v>1469303.9600190001</v>
      </c>
      <c r="R6" s="1191">
        <v>1556884.515596</v>
      </c>
      <c r="S6" s="1191">
        <v>1665267.603043</v>
      </c>
      <c r="T6" s="1191">
        <v>1707455.568794</v>
      </c>
      <c r="U6" s="1191">
        <v>1666794.6717360001</v>
      </c>
    </row>
    <row r="7" spans="1:21">
      <c r="A7" s="1188" t="s">
        <v>865</v>
      </c>
      <c r="B7" s="1188" t="s">
        <v>871</v>
      </c>
      <c r="C7" s="1188" t="s">
        <v>870</v>
      </c>
      <c r="D7" s="1191">
        <v>25464.17685</v>
      </c>
      <c r="E7" s="1191">
        <v>26102.671652000001</v>
      </c>
      <c r="F7" s="1191">
        <v>30863.552490999999</v>
      </c>
      <c r="G7" s="1191">
        <v>32441.784114999999</v>
      </c>
      <c r="H7" s="1191">
        <v>34089.353469000001</v>
      </c>
      <c r="I7" s="1191">
        <v>38965.370790000001</v>
      </c>
      <c r="J7" s="1191">
        <v>42882.006300000001</v>
      </c>
      <c r="K7" s="1191">
        <v>46038.473400000003</v>
      </c>
      <c r="L7" s="1191">
        <v>53268.124466000001</v>
      </c>
      <c r="M7" s="1191">
        <v>43575.05025</v>
      </c>
      <c r="N7" s="1191">
        <v>36683.664490000003</v>
      </c>
      <c r="O7" s="1191">
        <v>38352.952942000004</v>
      </c>
      <c r="P7" s="1191">
        <v>41230.513965999999</v>
      </c>
      <c r="Q7" s="1191">
        <v>39640.886355000002</v>
      </c>
      <c r="R7" s="1191">
        <v>36884.367284</v>
      </c>
      <c r="S7" s="1191">
        <v>32925.251814000003</v>
      </c>
      <c r="T7" s="1191">
        <v>36774.400756000003</v>
      </c>
      <c r="U7" s="1191">
        <v>36106.39572</v>
      </c>
    </row>
    <row r="8" spans="1:21">
      <c r="A8" s="1188" t="s">
        <v>865</v>
      </c>
      <c r="B8" s="1188" t="s">
        <v>872</v>
      </c>
      <c r="C8" s="1188" t="s">
        <v>870</v>
      </c>
      <c r="D8" s="1191">
        <v>436.05874999999997</v>
      </c>
      <c r="E8" s="1191">
        <v>383.612708</v>
      </c>
      <c r="F8" s="1191">
        <v>1145.143691</v>
      </c>
      <c r="G8" s="1191">
        <v>2915.778444</v>
      </c>
      <c r="H8" s="1191">
        <v>5742.8761999999997</v>
      </c>
      <c r="I8" s="1191">
        <v>18663.320749999999</v>
      </c>
      <c r="J8" s="1191">
        <v>30585.515960000001</v>
      </c>
      <c r="K8" s="1191">
        <v>58121.482300000003</v>
      </c>
      <c r="L8" s="1191">
        <v>79423.810882000005</v>
      </c>
      <c r="M8" s="1191">
        <v>99343.971009999994</v>
      </c>
      <c r="N8" s="1191">
        <v>112735.68963199999</v>
      </c>
      <c r="O8" s="1191">
        <v>147360.65213999999</v>
      </c>
      <c r="P8" s="1191">
        <v>171369.290756</v>
      </c>
      <c r="Q8" s="1191">
        <v>221665.758462</v>
      </c>
      <c r="R8" s="1191">
        <v>259073.12103400001</v>
      </c>
      <c r="S8" s="1191">
        <v>316463.336732</v>
      </c>
      <c r="T8" s="1191">
        <v>388336.19859699998</v>
      </c>
      <c r="U8" s="1191">
        <v>514842.44315499999</v>
      </c>
    </row>
    <row r="9" spans="1:21">
      <c r="A9" s="1188" t="s">
        <v>865</v>
      </c>
      <c r="B9" s="1188" t="s">
        <v>873</v>
      </c>
      <c r="C9" s="1188" t="s">
        <v>870</v>
      </c>
      <c r="D9" s="1191">
        <v>59775.611709999997</v>
      </c>
      <c r="E9" s="1191">
        <v>61606.978003999997</v>
      </c>
      <c r="F9" s="1191">
        <v>91829.344012000001</v>
      </c>
      <c r="G9" s="1191">
        <v>62165.419005000003</v>
      </c>
      <c r="H9" s="1191">
        <v>58561.611000999997</v>
      </c>
      <c r="I9" s="1191">
        <v>59291.133500000004</v>
      </c>
      <c r="J9" s="1191">
        <v>48641.171499999997</v>
      </c>
      <c r="K9" s="1191">
        <v>47973.321499999998</v>
      </c>
      <c r="L9" s="1191">
        <v>39890.970500000003</v>
      </c>
      <c r="M9" s="1191">
        <v>36144.71</v>
      </c>
      <c r="N9" s="1191">
        <v>35615.178999999996</v>
      </c>
      <c r="O9" s="1191">
        <v>33594.684999999998</v>
      </c>
      <c r="P9" s="1191">
        <v>30474.66763</v>
      </c>
      <c r="Q9" s="1191">
        <v>30841.710999999999</v>
      </c>
      <c r="R9" s="1191">
        <v>37576.527999999998</v>
      </c>
      <c r="S9" s="1191">
        <v>38167.932999999997</v>
      </c>
      <c r="T9" s="1191">
        <v>45141.398999999998</v>
      </c>
      <c r="U9" s="1191">
        <v>37965.949999999997</v>
      </c>
    </row>
    <row r="11" spans="1:21">
      <c r="A11" s="1188" t="s">
        <v>874</v>
      </c>
    </row>
    <row r="12" spans="1:21">
      <c r="A12" s="1188" t="s">
        <v>875</v>
      </c>
    </row>
    <row r="13" spans="1:21">
      <c r="A13" s="1188" t="s">
        <v>876</v>
      </c>
    </row>
  </sheetData>
  <mergeCells count="1">
    <mergeCell ref="A1:C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2:AP115"/>
  <sheetViews>
    <sheetView showGridLines="0" topLeftCell="Z19" zoomScale="90" zoomScaleNormal="90" workbookViewId="0">
      <selection activeCell="AL31" sqref="AL31"/>
    </sheetView>
  </sheetViews>
  <sheetFormatPr baseColWidth="10" defaultRowHeight="12.75"/>
  <cols>
    <col min="1" max="1" width="4.28515625" style="62" customWidth="1"/>
    <col min="2" max="2" width="29" style="62" customWidth="1"/>
    <col min="3" max="18" width="11.5703125" style="62" customWidth="1"/>
    <col min="19" max="19" width="11.5703125" style="129" customWidth="1"/>
    <col min="20" max="20" width="11.5703125" style="62" customWidth="1"/>
    <col min="21" max="21" width="11.42578125" style="62"/>
    <col min="22" max="23" width="11.5703125" style="62" bestFit="1" customWidth="1"/>
    <col min="24" max="25" width="11.85546875" style="62" bestFit="1" customWidth="1"/>
    <col min="26" max="26" width="13" style="62" bestFit="1" customWidth="1"/>
    <col min="27" max="27" width="13" style="62" customWidth="1"/>
    <col min="28" max="16384" width="11.42578125" style="62"/>
  </cols>
  <sheetData>
    <row r="2" spans="1:37" ht="20.25">
      <c r="B2" s="1171" t="s">
        <v>934</v>
      </c>
    </row>
    <row r="3" spans="1:37" ht="15" customHeight="1">
      <c r="B3" s="62" t="s">
        <v>935</v>
      </c>
      <c r="S3" s="1192"/>
    </row>
    <row r="4" spans="1:37" ht="15" customHeight="1">
      <c r="S4" s="1192"/>
      <c r="T4" s="62" t="s">
        <v>936</v>
      </c>
    </row>
    <row r="5" spans="1:37">
      <c r="A5" s="208"/>
      <c r="B5" s="949"/>
      <c r="C5" s="1193" t="s">
        <v>838</v>
      </c>
      <c r="S5" s="1192"/>
      <c r="T5" s="227" t="s">
        <v>937</v>
      </c>
      <c r="U5" s="1194"/>
      <c r="V5" s="1195">
        <v>2010</v>
      </c>
      <c r="W5" s="1195">
        <v>2011</v>
      </c>
      <c r="X5" s="1195">
        <v>2012</v>
      </c>
      <c r="Y5" s="1195">
        <v>2013</v>
      </c>
      <c r="Z5" s="1195">
        <v>2014</v>
      </c>
      <c r="AA5" s="1196">
        <v>2015</v>
      </c>
      <c r="AC5" s="227"/>
      <c r="AD5" s="1194"/>
      <c r="AE5" s="1195">
        <v>2010</v>
      </c>
      <c r="AF5" s="1195">
        <v>2011</v>
      </c>
      <c r="AG5" s="1195">
        <v>2012</v>
      </c>
      <c r="AH5" s="1195">
        <v>2013</v>
      </c>
      <c r="AI5" s="1195">
        <v>2014</v>
      </c>
      <c r="AJ5" s="1196">
        <v>2015</v>
      </c>
    </row>
    <row r="6" spans="1:37">
      <c r="B6" s="212" t="s">
        <v>938</v>
      </c>
      <c r="C6" s="1197" t="s">
        <v>939</v>
      </c>
      <c r="S6" s="290"/>
      <c r="T6" s="212"/>
      <c r="U6" s="125"/>
      <c r="V6" s="138"/>
      <c r="W6" s="138"/>
      <c r="X6" s="138"/>
      <c r="Y6" s="138"/>
      <c r="Z6" s="138"/>
      <c r="AA6" s="214"/>
      <c r="AC6" s="270" t="s">
        <v>940</v>
      </c>
      <c r="AD6" s="1198"/>
      <c r="AE6" s="271">
        <f>C25</f>
        <v>656068</v>
      </c>
      <c r="AF6" s="271">
        <f>AE11</f>
        <v>789062</v>
      </c>
      <c r="AG6" s="271">
        <f t="shared" ref="AG6:AJ6" si="0">AF11</f>
        <v>1091309</v>
      </c>
      <c r="AH6" s="271">
        <f t="shared" si="0"/>
        <v>1291532</v>
      </c>
      <c r="AI6" s="271">
        <f t="shared" si="0"/>
        <v>1610239</v>
      </c>
      <c r="AJ6" s="272">
        <f t="shared" si="0"/>
        <v>2079925</v>
      </c>
    </row>
    <row r="7" spans="1:37">
      <c r="B7" s="212" t="s">
        <v>941</v>
      </c>
      <c r="C7" s="1197" t="s">
        <v>942</v>
      </c>
      <c r="S7" s="290"/>
      <c r="T7" s="212" t="s">
        <v>943</v>
      </c>
      <c r="U7" s="125"/>
      <c r="V7" s="138">
        <v>448</v>
      </c>
      <c r="W7" s="138">
        <v>403</v>
      </c>
      <c r="X7" s="138">
        <v>529</v>
      </c>
      <c r="Y7" s="138">
        <v>595</v>
      </c>
      <c r="Z7" s="138">
        <v>592</v>
      </c>
      <c r="AA7" s="214">
        <v>568</v>
      </c>
      <c r="AC7" s="212" t="s">
        <v>944</v>
      </c>
      <c r="AD7" s="125"/>
      <c r="AE7" s="138">
        <f>D25</f>
        <v>239817</v>
      </c>
      <c r="AF7" s="138">
        <f>D38</f>
        <v>428315</v>
      </c>
      <c r="AG7" s="138">
        <f>D51</f>
        <v>332522</v>
      </c>
      <c r="AH7" s="138">
        <f>D64</f>
        <v>501404</v>
      </c>
      <c r="AI7" s="138">
        <f>D77</f>
        <v>658371</v>
      </c>
      <c r="AJ7" s="214">
        <f>D90</f>
        <v>274506</v>
      </c>
    </row>
    <row r="8" spans="1:37">
      <c r="B8" s="212" t="s">
        <v>945</v>
      </c>
      <c r="C8" s="1197" t="s">
        <v>946</v>
      </c>
      <c r="S8" s="290"/>
      <c r="T8" s="307" t="s">
        <v>947</v>
      </c>
      <c r="U8" s="143"/>
      <c r="V8" s="1199">
        <f>H25</f>
        <v>78939</v>
      </c>
      <c r="W8" s="1199">
        <f>H38</f>
        <v>98798</v>
      </c>
      <c r="X8" s="1199">
        <f>H51</f>
        <v>116543</v>
      </c>
      <c r="Y8" s="1199">
        <f>H64</f>
        <v>124160</v>
      </c>
      <c r="Z8" s="1199">
        <f>H77</f>
        <v>139253</v>
      </c>
      <c r="AA8" s="1200">
        <v>162263</v>
      </c>
      <c r="AC8" s="212" t="s">
        <v>752</v>
      </c>
      <c r="AD8" s="125"/>
      <c r="AE8" s="138">
        <f>(V8)*-1</f>
        <v>-78939</v>
      </c>
      <c r="AF8" s="138">
        <f>(W8)*-1</f>
        <v>-98798</v>
      </c>
      <c r="AG8" s="138">
        <f>(X8)*-1</f>
        <v>-116543</v>
      </c>
      <c r="AH8" s="138">
        <f>(Y8)*-1</f>
        <v>-124160</v>
      </c>
      <c r="AI8" s="138">
        <f>(Z8)*-1</f>
        <v>-139253</v>
      </c>
      <c r="AJ8" s="214">
        <f>-H90</f>
        <v>-162262</v>
      </c>
    </row>
    <row r="9" spans="1:37" ht="15" customHeight="1">
      <c r="B9" s="212" t="s">
        <v>948</v>
      </c>
      <c r="C9" s="1197" t="s">
        <v>949</v>
      </c>
      <c r="S9" s="290"/>
      <c r="T9" s="1201" t="s">
        <v>783</v>
      </c>
      <c r="U9" s="1202"/>
      <c r="V9" s="1203">
        <f>SUM(V7:V8)</f>
        <v>79387</v>
      </c>
      <c r="W9" s="1203">
        <f>SUM(W7:W8)</f>
        <v>99201</v>
      </c>
      <c r="X9" s="1203">
        <f t="shared" ref="X9:AA9" si="1">SUM(X7:X8)</f>
        <v>117072</v>
      </c>
      <c r="Y9" s="1203">
        <f t="shared" si="1"/>
        <v>124755</v>
      </c>
      <c r="Z9" s="1203">
        <f t="shared" si="1"/>
        <v>139845</v>
      </c>
      <c r="AA9" s="1031">
        <f t="shared" si="1"/>
        <v>162831</v>
      </c>
      <c r="AC9" s="212" t="s">
        <v>950</v>
      </c>
      <c r="AD9" s="125"/>
      <c r="AE9" s="138">
        <f>E25-I25</f>
        <v>-27884</v>
      </c>
      <c r="AF9" s="138">
        <f>E38-I38</f>
        <v>-27270</v>
      </c>
      <c r="AG9" s="138">
        <f>E51-I51</f>
        <v>-11883</v>
      </c>
      <c r="AH9" s="138">
        <f>E64+F64-I64</f>
        <v>-33454</v>
      </c>
      <c r="AI9" s="138">
        <f>E77+F77-I77</f>
        <v>-52993</v>
      </c>
      <c r="AJ9" s="214">
        <f>E90+F90-I90</f>
        <v>-20507</v>
      </c>
    </row>
    <row r="10" spans="1:37">
      <c r="B10" s="212" t="s">
        <v>951</v>
      </c>
      <c r="C10" s="1197" t="s">
        <v>952</v>
      </c>
      <c r="S10" s="290"/>
      <c r="V10" s="234"/>
      <c r="W10" s="234"/>
      <c r="X10" s="234"/>
      <c r="Y10" s="234"/>
      <c r="Z10" s="234"/>
      <c r="AA10" s="138"/>
      <c r="AC10" s="307" t="s">
        <v>953</v>
      </c>
      <c r="AD10" s="143"/>
      <c r="AE10" s="1199">
        <f>K25</f>
        <v>0</v>
      </c>
      <c r="AF10" s="1199">
        <f>K38</f>
        <v>0</v>
      </c>
      <c r="AG10" s="1199">
        <f>K51</f>
        <v>-3873</v>
      </c>
      <c r="AH10" s="1199">
        <f>K64</f>
        <v>-25083</v>
      </c>
      <c r="AI10" s="1199">
        <f>K77</f>
        <v>3561</v>
      </c>
      <c r="AJ10" s="1200">
        <f>K82</f>
        <v>-43908</v>
      </c>
    </row>
    <row r="11" spans="1:37">
      <c r="B11" s="307" t="s">
        <v>954</v>
      </c>
      <c r="C11" s="1204" t="s">
        <v>946</v>
      </c>
      <c r="S11" s="290"/>
      <c r="AC11" s="949" t="s">
        <v>783</v>
      </c>
      <c r="AD11" s="73"/>
      <c r="AE11" s="1205">
        <f t="shared" ref="AE11:AJ11" si="2">SUM(AE6:AE10)</f>
        <v>789062</v>
      </c>
      <c r="AF11" s="1205">
        <f t="shared" si="2"/>
        <v>1091309</v>
      </c>
      <c r="AG11" s="1205">
        <f t="shared" si="2"/>
        <v>1291532</v>
      </c>
      <c r="AH11" s="1205">
        <f t="shared" si="2"/>
        <v>1610239</v>
      </c>
      <c r="AI11" s="1205">
        <f t="shared" si="2"/>
        <v>2079925</v>
      </c>
      <c r="AJ11" s="1206">
        <f t="shared" si="2"/>
        <v>2127754</v>
      </c>
    </row>
    <row r="12" spans="1:37" ht="15" customHeight="1">
      <c r="S12" s="290"/>
      <c r="T12" s="1813" t="s">
        <v>1388</v>
      </c>
      <c r="U12" s="1814"/>
      <c r="V12" s="1814"/>
      <c r="W12" s="1814"/>
      <c r="X12" s="1814"/>
      <c r="Y12" s="1814"/>
      <c r="Z12" s="1814"/>
      <c r="AA12" s="1815"/>
      <c r="AC12" s="1207" t="s">
        <v>955</v>
      </c>
      <c r="AD12" s="73"/>
      <c r="AE12" s="1208">
        <f t="shared" ref="AE12:AJ12" si="3">AE8/(AE6+AE7)</f>
        <v>-8.8112871629729264E-2</v>
      </c>
      <c r="AF12" s="1208">
        <f t="shared" si="3"/>
        <v>-8.1156453588329666E-2</v>
      </c>
      <c r="AG12" s="1208">
        <f t="shared" si="3"/>
        <v>-8.1851708524396508E-2</v>
      </c>
      <c r="AH12" s="1208">
        <f t="shared" si="3"/>
        <v>-6.924954376508699E-2</v>
      </c>
      <c r="AI12" s="1208">
        <f t="shared" si="3"/>
        <v>-6.1382520574272355E-2</v>
      </c>
      <c r="AJ12" s="1208">
        <f t="shared" si="3"/>
        <v>-6.8917713027054101E-2</v>
      </c>
      <c r="AK12" s="1209">
        <f>AVERAGE(AE12:AJ12)</f>
        <v>-7.5111801851478144E-2</v>
      </c>
    </row>
    <row r="13" spans="1:37">
      <c r="B13" s="1210"/>
      <c r="C13" s="1849">
        <v>2009</v>
      </c>
      <c r="D13" s="1850" t="s">
        <v>956</v>
      </c>
      <c r="E13" s="1851"/>
      <c r="F13" s="1851"/>
      <c r="G13" s="1852"/>
      <c r="H13" s="1850" t="s">
        <v>957</v>
      </c>
      <c r="I13" s="1851"/>
      <c r="J13" s="1852"/>
      <c r="K13" s="1853" t="s">
        <v>958</v>
      </c>
      <c r="L13" s="1855" t="s">
        <v>959</v>
      </c>
      <c r="M13" s="1837" t="s">
        <v>960</v>
      </c>
      <c r="N13" s="1838"/>
      <c r="O13" s="1838"/>
      <c r="P13" s="1838"/>
      <c r="Q13" s="1838"/>
      <c r="R13" s="1839"/>
      <c r="S13" s="290"/>
      <c r="T13" s="275"/>
      <c r="U13" s="151"/>
      <c r="V13" s="247">
        <v>2010</v>
      </c>
      <c r="W13" s="247">
        <v>2011</v>
      </c>
      <c r="X13" s="247">
        <v>2012</v>
      </c>
      <c r="Y13" s="247">
        <v>2013</v>
      </c>
      <c r="Z13" s="247">
        <v>2014</v>
      </c>
      <c r="AA13" s="248">
        <v>2015</v>
      </c>
      <c r="AE13" s="75"/>
      <c r="AF13" s="75"/>
      <c r="AG13" s="75"/>
      <c r="AH13" s="75"/>
      <c r="AI13" s="75"/>
      <c r="AJ13" s="75"/>
      <c r="AK13" s="75"/>
    </row>
    <row r="14" spans="1:37" ht="25.5">
      <c r="B14" s="1211">
        <v>2010</v>
      </c>
      <c r="C14" s="1849"/>
      <c r="D14" s="875" t="s">
        <v>961</v>
      </c>
      <c r="E14" s="876" t="s">
        <v>950</v>
      </c>
      <c r="F14" s="876" t="s">
        <v>962</v>
      </c>
      <c r="G14" s="877" t="s">
        <v>841</v>
      </c>
      <c r="H14" s="878" t="s">
        <v>963</v>
      </c>
      <c r="I14" s="876" t="s">
        <v>964</v>
      </c>
      <c r="J14" s="877" t="s">
        <v>841</v>
      </c>
      <c r="K14" s="1854"/>
      <c r="L14" s="1856"/>
      <c r="M14" s="1840"/>
      <c r="N14" s="1841"/>
      <c r="O14" s="1841"/>
      <c r="P14" s="1841"/>
      <c r="Q14" s="1841"/>
      <c r="R14" s="1842"/>
      <c r="S14" s="290"/>
      <c r="T14" s="270" t="s">
        <v>965</v>
      </c>
      <c r="U14" s="1198"/>
      <c r="V14" s="271">
        <v>50172</v>
      </c>
      <c r="W14" s="271">
        <v>59308</v>
      </c>
      <c r="X14" s="271">
        <v>69307</v>
      </c>
      <c r="Y14" s="271">
        <v>74599</v>
      </c>
      <c r="Z14" s="271">
        <v>80677</v>
      </c>
      <c r="AA14" s="272">
        <v>90886</v>
      </c>
      <c r="AC14" s="199" t="s">
        <v>1398</v>
      </c>
      <c r="AE14" s="75"/>
      <c r="AF14" s="75"/>
      <c r="AG14" s="75"/>
      <c r="AH14" s="75"/>
      <c r="AI14" s="75"/>
      <c r="AJ14" s="75"/>
    </row>
    <row r="15" spans="1:37">
      <c r="B15" s="1212" t="s">
        <v>966</v>
      </c>
      <c r="C15" s="1213">
        <v>156599</v>
      </c>
      <c r="D15" s="213">
        <v>0</v>
      </c>
      <c r="E15" s="138">
        <v>-6093</v>
      </c>
      <c r="F15" s="138">
        <v>0</v>
      </c>
      <c r="G15" s="214">
        <f>SUM(C15:F15)</f>
        <v>150506</v>
      </c>
      <c r="H15" s="213">
        <v>0</v>
      </c>
      <c r="I15" s="138">
        <v>0</v>
      </c>
      <c r="J15" s="214">
        <f>SUM(H15:I15)</f>
        <v>0</v>
      </c>
      <c r="K15" s="214"/>
      <c r="L15" s="1213">
        <f>G15-J15+K15</f>
        <v>150506</v>
      </c>
      <c r="M15" s="1843" t="s">
        <v>967</v>
      </c>
      <c r="N15" s="1844"/>
      <c r="O15" s="1844"/>
      <c r="P15" s="1844"/>
      <c r="Q15" s="1844"/>
      <c r="R15" s="1845"/>
      <c r="S15" s="290"/>
      <c r="T15" s="212" t="s">
        <v>968</v>
      </c>
      <c r="U15" s="125"/>
      <c r="V15" s="138">
        <v>21938</v>
      </c>
      <c r="W15" s="138">
        <v>33670</v>
      </c>
      <c r="X15" s="138">
        <v>39467</v>
      </c>
      <c r="Y15" s="138">
        <v>39835</v>
      </c>
      <c r="Z15" s="138">
        <v>47050</v>
      </c>
      <c r="AA15" s="214">
        <v>53386.2</v>
      </c>
      <c r="AC15" s="227"/>
      <c r="AD15" s="1194"/>
      <c r="AE15" s="1195">
        <v>2010</v>
      </c>
      <c r="AF15" s="1195">
        <v>2011</v>
      </c>
      <c r="AG15" s="1195">
        <v>2012</v>
      </c>
      <c r="AH15" s="1195">
        <v>2013</v>
      </c>
      <c r="AI15" s="1195">
        <v>2014</v>
      </c>
      <c r="AJ15" s="1196">
        <v>2015</v>
      </c>
    </row>
    <row r="16" spans="1:37">
      <c r="B16" s="1212" t="s">
        <v>938</v>
      </c>
      <c r="C16" s="1213">
        <v>72003</v>
      </c>
      <c r="D16" s="213">
        <v>2206</v>
      </c>
      <c r="E16" s="138">
        <v>-2065</v>
      </c>
      <c r="F16" s="138">
        <v>9348</v>
      </c>
      <c r="G16" s="214">
        <f>SUM(C16:F16)</f>
        <v>81492</v>
      </c>
      <c r="H16" s="213">
        <v>2476</v>
      </c>
      <c r="I16" s="138">
        <v>-968</v>
      </c>
      <c r="J16" s="214">
        <f t="shared" ref="J16:J24" si="4">SUM(H16:I16)</f>
        <v>1508</v>
      </c>
      <c r="K16" s="214"/>
      <c r="L16" s="1213">
        <f t="shared" ref="L16:L25" si="5">G16-J16+K16</f>
        <v>79984</v>
      </c>
      <c r="M16" s="1843"/>
      <c r="N16" s="1844"/>
      <c r="O16" s="1844"/>
      <c r="P16" s="1844"/>
      <c r="Q16" s="1844"/>
      <c r="R16" s="1845"/>
      <c r="S16" s="1214"/>
      <c r="T16" s="212" t="s">
        <v>969</v>
      </c>
      <c r="U16" s="125"/>
      <c r="V16" s="138">
        <v>3939</v>
      </c>
      <c r="W16" s="138">
        <v>3569</v>
      </c>
      <c r="X16" s="138">
        <v>3251</v>
      </c>
      <c r="Y16" s="138">
        <v>3664</v>
      </c>
      <c r="Z16" s="138">
        <v>5633</v>
      </c>
      <c r="AA16" s="214">
        <v>6831.2</v>
      </c>
      <c r="AC16" s="212" t="s">
        <v>940</v>
      </c>
      <c r="AD16" s="125"/>
      <c r="AE16" s="138">
        <f>AE6</f>
        <v>656068</v>
      </c>
      <c r="AF16" s="138">
        <f t="shared" ref="AF16:AJ16" si="6">AF6</f>
        <v>789062</v>
      </c>
      <c r="AG16" s="138">
        <f t="shared" si="6"/>
        <v>1091309</v>
      </c>
      <c r="AH16" s="138">
        <f t="shared" si="6"/>
        <v>1291532</v>
      </c>
      <c r="AI16" s="138">
        <f t="shared" si="6"/>
        <v>1610239</v>
      </c>
      <c r="AJ16" s="214">
        <f t="shared" si="6"/>
        <v>2079925</v>
      </c>
    </row>
    <row r="17" spans="2:42">
      <c r="B17" s="1212" t="s">
        <v>941</v>
      </c>
      <c r="C17" s="1213">
        <v>230013</v>
      </c>
      <c r="D17" s="213">
        <v>14003</v>
      </c>
      <c r="E17" s="138">
        <v>-3718</v>
      </c>
      <c r="F17" s="138">
        <v>44090</v>
      </c>
      <c r="G17" s="214">
        <f t="shared" ref="G17:G24" si="7">SUM(C17:F17)</f>
        <v>284388</v>
      </c>
      <c r="H17" s="213">
        <v>21484</v>
      </c>
      <c r="I17" s="138">
        <v>-3064</v>
      </c>
      <c r="J17" s="214">
        <f t="shared" si="4"/>
        <v>18420</v>
      </c>
      <c r="K17" s="214"/>
      <c r="L17" s="1213">
        <f t="shared" si="5"/>
        <v>265968</v>
      </c>
      <c r="M17" s="1846"/>
      <c r="N17" s="1847"/>
      <c r="O17" s="1847"/>
      <c r="P17" s="1847"/>
      <c r="Q17" s="1847"/>
      <c r="R17" s="1848"/>
      <c r="S17" s="1215"/>
      <c r="T17" s="212" t="s">
        <v>970</v>
      </c>
      <c r="U17" s="125"/>
      <c r="V17" s="138">
        <v>3338</v>
      </c>
      <c r="W17" s="138">
        <v>2654</v>
      </c>
      <c r="X17" s="138">
        <v>5047</v>
      </c>
      <c r="Y17" s="138">
        <v>6657</v>
      </c>
      <c r="Z17" s="138">
        <v>6485</v>
      </c>
      <c r="AA17" s="214">
        <v>11727.2</v>
      </c>
      <c r="AC17" s="212" t="s">
        <v>971</v>
      </c>
      <c r="AD17" s="125"/>
      <c r="AE17" s="138">
        <f>E25</f>
        <v>-68470</v>
      </c>
      <c r="AF17" s="138">
        <f>E38</f>
        <v>-64401</v>
      </c>
      <c r="AG17" s="138">
        <f>E51</f>
        <v>-50246</v>
      </c>
      <c r="AH17" s="138">
        <f>E64</f>
        <v>-70245</v>
      </c>
      <c r="AI17" s="138">
        <f>E77</f>
        <v>-120350</v>
      </c>
      <c r="AJ17" s="214">
        <f>E90</f>
        <v>-70900</v>
      </c>
    </row>
    <row r="18" spans="2:42">
      <c r="B18" s="1212" t="s">
        <v>945</v>
      </c>
      <c r="C18" s="1213">
        <v>5026</v>
      </c>
      <c r="D18" s="213">
        <v>6092</v>
      </c>
      <c r="E18" s="138">
        <v>0</v>
      </c>
      <c r="F18" s="138">
        <v>1297</v>
      </c>
      <c r="G18" s="214">
        <f t="shared" si="7"/>
        <v>12415</v>
      </c>
      <c r="H18" s="213">
        <v>891</v>
      </c>
      <c r="I18" s="138">
        <v>0</v>
      </c>
      <c r="J18" s="214">
        <f t="shared" si="4"/>
        <v>891</v>
      </c>
      <c r="K18" s="214"/>
      <c r="L18" s="1213">
        <f t="shared" si="5"/>
        <v>11524</v>
      </c>
      <c r="M18" s="1843" t="s">
        <v>972</v>
      </c>
      <c r="N18" s="1844"/>
      <c r="O18" s="1844"/>
      <c r="P18" s="1844"/>
      <c r="Q18" s="1844"/>
      <c r="R18" s="1845"/>
      <c r="S18" s="879"/>
      <c r="T18" s="1201" t="s">
        <v>783</v>
      </c>
      <c r="U18" s="1202"/>
      <c r="V18" s="1203">
        <f t="shared" ref="V18:Y18" si="8">SUM(V14:V17)</f>
        <v>79387</v>
      </c>
      <c r="W18" s="1203">
        <f t="shared" si="8"/>
        <v>99201</v>
      </c>
      <c r="X18" s="1203">
        <f t="shared" si="8"/>
        <v>117072</v>
      </c>
      <c r="Y18" s="1203">
        <f t="shared" si="8"/>
        <v>124755</v>
      </c>
      <c r="Z18" s="1203">
        <f>SUM(Z14:Z17)</f>
        <v>139845</v>
      </c>
      <c r="AA18" s="1031">
        <f>SUM(AA14:AA17)</f>
        <v>162830.60000000003</v>
      </c>
      <c r="AB18" s="234"/>
      <c r="AC18" s="212" t="s">
        <v>944</v>
      </c>
      <c r="AD18" s="125"/>
      <c r="AE18" s="138">
        <f>D25</f>
        <v>239817</v>
      </c>
      <c r="AF18" s="138">
        <f>D38</f>
        <v>428315</v>
      </c>
      <c r="AG18" s="138">
        <f>D51</f>
        <v>332522</v>
      </c>
      <c r="AH18" s="138">
        <f>D64</f>
        <v>501404</v>
      </c>
      <c r="AI18" s="138">
        <f>D77</f>
        <v>658371</v>
      </c>
      <c r="AJ18" s="214">
        <f>D90</f>
        <v>274506</v>
      </c>
    </row>
    <row r="19" spans="2:42">
      <c r="B19" s="1212" t="s">
        <v>948</v>
      </c>
      <c r="C19" s="1213">
        <v>10327</v>
      </c>
      <c r="D19" s="213">
        <v>29</v>
      </c>
      <c r="E19" s="138">
        <v>-2031</v>
      </c>
      <c r="F19" s="138">
        <v>2100</v>
      </c>
      <c r="G19" s="214">
        <f t="shared" si="7"/>
        <v>10425</v>
      </c>
      <c r="H19" s="213">
        <v>1384</v>
      </c>
      <c r="I19" s="138">
        <v>-1975</v>
      </c>
      <c r="J19" s="214">
        <f t="shared" si="4"/>
        <v>-591</v>
      </c>
      <c r="K19" s="214"/>
      <c r="L19" s="1213">
        <f t="shared" si="5"/>
        <v>11016</v>
      </c>
      <c r="M19" s="1843"/>
      <c r="N19" s="1844"/>
      <c r="O19" s="1844"/>
      <c r="P19" s="1844"/>
      <c r="Q19" s="1844"/>
      <c r="R19" s="1845"/>
      <c r="S19" s="290"/>
      <c r="T19" s="270"/>
      <c r="U19" s="1198"/>
      <c r="V19" s="1198"/>
      <c r="W19" s="1198"/>
      <c r="X19" s="1198"/>
      <c r="Y19" s="1198"/>
      <c r="Z19" s="1198"/>
      <c r="AA19" s="1216"/>
      <c r="AB19" s="234"/>
      <c r="AC19" s="1217" t="s">
        <v>922</v>
      </c>
      <c r="AD19" s="1218"/>
      <c r="AE19" s="1219">
        <f>SUM(AE16:AE18)</f>
        <v>827415</v>
      </c>
      <c r="AF19" s="1219">
        <f t="shared" ref="AF19:AJ19" si="9">SUM(AF16:AF18)</f>
        <v>1152976</v>
      </c>
      <c r="AG19" s="1219">
        <f t="shared" si="9"/>
        <v>1373585</v>
      </c>
      <c r="AH19" s="1219">
        <f t="shared" si="9"/>
        <v>1722691</v>
      </c>
      <c r="AI19" s="1219">
        <f t="shared" si="9"/>
        <v>2148260</v>
      </c>
      <c r="AJ19" s="1220">
        <f t="shared" si="9"/>
        <v>2283531</v>
      </c>
    </row>
    <row r="20" spans="2:42">
      <c r="B20" s="1212" t="s">
        <v>951</v>
      </c>
      <c r="C20" s="1213">
        <v>78280</v>
      </c>
      <c r="D20" s="213">
        <v>12662</v>
      </c>
      <c r="E20" s="138">
        <v>-30686</v>
      </c>
      <c r="F20" s="138">
        <v>32287</v>
      </c>
      <c r="G20" s="214">
        <f t="shared" si="7"/>
        <v>92543</v>
      </c>
      <c r="H20" s="213">
        <v>26793</v>
      </c>
      <c r="I20" s="138">
        <v>-23589</v>
      </c>
      <c r="J20" s="214">
        <f t="shared" si="4"/>
        <v>3204</v>
      </c>
      <c r="K20" s="214"/>
      <c r="L20" s="1213">
        <f t="shared" si="5"/>
        <v>89339</v>
      </c>
      <c r="M20" s="1846"/>
      <c r="N20" s="1847"/>
      <c r="O20" s="1847"/>
      <c r="P20" s="1847"/>
      <c r="Q20" s="1847"/>
      <c r="R20" s="1848"/>
      <c r="S20" s="290"/>
      <c r="T20" s="212" t="s">
        <v>965</v>
      </c>
      <c r="U20" s="125"/>
      <c r="V20" s="1221">
        <f t="shared" ref="V20:Z20" si="10">V14/V$18</f>
        <v>0.63199264363182894</v>
      </c>
      <c r="W20" s="1221">
        <f t="shared" si="10"/>
        <v>0.59785687644277774</v>
      </c>
      <c r="X20" s="1221">
        <f t="shared" si="10"/>
        <v>0.59200321169878367</v>
      </c>
      <c r="Y20" s="1221">
        <f t="shared" si="10"/>
        <v>0.59796400945853878</v>
      </c>
      <c r="Z20" s="1221">
        <f t="shared" si="10"/>
        <v>0.57690299974972292</v>
      </c>
      <c r="AA20" s="1222">
        <f>AA14/AA$18</f>
        <v>0.55816290058502505</v>
      </c>
      <c r="AB20" s="234"/>
      <c r="AC20" s="212" t="s">
        <v>752</v>
      </c>
      <c r="AD20" s="125"/>
      <c r="AE20" s="138">
        <f>(J25)*-1</f>
        <v>-38353</v>
      </c>
      <c r="AF20" s="138">
        <f>(J38)*-1</f>
        <v>-61667</v>
      </c>
      <c r="AG20" s="138">
        <f>-J51</f>
        <v>-78180</v>
      </c>
      <c r="AH20" s="138">
        <f>-J64</f>
        <v>-93484</v>
      </c>
      <c r="AI20" s="138">
        <f>-J77</f>
        <v>-70803</v>
      </c>
      <c r="AJ20" s="214">
        <f>-J90</f>
        <v>-111869</v>
      </c>
      <c r="AK20" s="75"/>
    </row>
    <row r="21" spans="2:42">
      <c r="B21" s="1212" t="s">
        <v>954</v>
      </c>
      <c r="C21" s="1213">
        <v>78835</v>
      </c>
      <c r="D21" s="213">
        <v>15819</v>
      </c>
      <c r="E21" s="138">
        <v>-16949</v>
      </c>
      <c r="F21" s="138">
        <v>52024</v>
      </c>
      <c r="G21" s="214">
        <f t="shared" si="7"/>
        <v>129729</v>
      </c>
      <c r="H21" s="213">
        <v>25911</v>
      </c>
      <c r="I21" s="138">
        <v>-10990</v>
      </c>
      <c r="J21" s="214">
        <f t="shared" si="4"/>
        <v>14921</v>
      </c>
      <c r="K21" s="214"/>
      <c r="L21" s="1213">
        <f t="shared" si="5"/>
        <v>114808</v>
      </c>
      <c r="M21" s="1843" t="s">
        <v>973</v>
      </c>
      <c r="N21" s="1844"/>
      <c r="O21" s="1844"/>
      <c r="P21" s="1844"/>
      <c r="Q21" s="1844"/>
      <c r="R21" s="1845"/>
      <c r="S21" s="290"/>
      <c r="T21" s="212" t="s">
        <v>968</v>
      </c>
      <c r="U21" s="125"/>
      <c r="V21" s="1221">
        <f t="shared" ref="V21:AA21" si="11">V15/V$18</f>
        <v>0.27634247420862357</v>
      </c>
      <c r="W21" s="1221">
        <f t="shared" si="11"/>
        <v>0.33941190108970676</v>
      </c>
      <c r="X21" s="1221">
        <f t="shared" si="11"/>
        <v>0.33711732950662843</v>
      </c>
      <c r="Y21" s="1221">
        <f t="shared" si="11"/>
        <v>0.31930583944531282</v>
      </c>
      <c r="Z21" s="1221">
        <f t="shared" si="11"/>
        <v>0.33644392005434587</v>
      </c>
      <c r="AA21" s="1222">
        <f t="shared" si="11"/>
        <v>0.32786343598807588</v>
      </c>
      <c r="AB21" s="234"/>
      <c r="AC21" s="212" t="s">
        <v>953</v>
      </c>
      <c r="AD21" s="125"/>
      <c r="AE21" s="138">
        <f>K25</f>
        <v>0</v>
      </c>
      <c r="AF21" s="138">
        <f>K38</f>
        <v>0</v>
      </c>
      <c r="AG21" s="138">
        <f>K51</f>
        <v>-3873</v>
      </c>
      <c r="AH21" s="138">
        <f>F64+K64</f>
        <v>-18968</v>
      </c>
      <c r="AI21" s="138">
        <f>F77+K77</f>
        <v>2468</v>
      </c>
      <c r="AJ21" s="214">
        <f>K90</f>
        <v>-43908</v>
      </c>
    </row>
    <row r="22" spans="2:42">
      <c r="B22" s="1212" t="s">
        <v>974</v>
      </c>
      <c r="C22" s="1213">
        <v>1406</v>
      </c>
      <c r="D22" s="213">
        <v>0</v>
      </c>
      <c r="E22" s="138">
        <v>0</v>
      </c>
      <c r="F22" s="138">
        <v>0</v>
      </c>
      <c r="G22" s="214">
        <f t="shared" si="7"/>
        <v>1406</v>
      </c>
      <c r="H22" s="213">
        <v>0</v>
      </c>
      <c r="I22" s="138">
        <v>0</v>
      </c>
      <c r="J22" s="214">
        <f t="shared" si="4"/>
        <v>0</v>
      </c>
      <c r="K22" s="214"/>
      <c r="L22" s="1213">
        <f t="shared" si="5"/>
        <v>1406</v>
      </c>
      <c r="M22" s="1843"/>
      <c r="N22" s="1844"/>
      <c r="O22" s="1844"/>
      <c r="P22" s="1844"/>
      <c r="Q22" s="1844"/>
      <c r="R22" s="1845"/>
      <c r="S22" s="290"/>
      <c r="T22" s="212" t="s">
        <v>969</v>
      </c>
      <c r="U22" s="125"/>
      <c r="V22" s="1221">
        <f t="shared" ref="V22:AA22" si="12">V16/V$18</f>
        <v>4.9617695592477355E-2</v>
      </c>
      <c r="W22" s="1221">
        <f t="shared" si="12"/>
        <v>3.5977459904638055E-2</v>
      </c>
      <c r="X22" s="1221">
        <f t="shared" si="12"/>
        <v>2.7769236025693589E-2</v>
      </c>
      <c r="Y22" s="1221">
        <f t="shared" si="12"/>
        <v>2.9369564346118392E-2</v>
      </c>
      <c r="Z22" s="1221">
        <f t="shared" si="12"/>
        <v>4.0280310343594694E-2</v>
      </c>
      <c r="AA22" s="1222">
        <f t="shared" si="12"/>
        <v>4.1952802483071351E-2</v>
      </c>
      <c r="AB22" s="234"/>
      <c r="AC22" s="1223" t="s">
        <v>783</v>
      </c>
      <c r="AD22" s="1224"/>
      <c r="AE22" s="1225">
        <f>SUM(AE19:AE21)</f>
        <v>789062</v>
      </c>
      <c r="AF22" s="1225">
        <f t="shared" ref="AF22:AJ22" si="13">SUM(AF19:AF21)</f>
        <v>1091309</v>
      </c>
      <c r="AG22" s="1225">
        <f t="shared" si="13"/>
        <v>1291532</v>
      </c>
      <c r="AH22" s="1225">
        <f t="shared" si="13"/>
        <v>1610239</v>
      </c>
      <c r="AI22" s="1225">
        <f t="shared" si="13"/>
        <v>2079925</v>
      </c>
      <c r="AJ22" s="1226">
        <f t="shared" si="13"/>
        <v>2127754</v>
      </c>
    </row>
    <row r="23" spans="2:42">
      <c r="B23" s="1212" t="s">
        <v>975</v>
      </c>
      <c r="C23" s="1213">
        <v>13091</v>
      </c>
      <c r="D23" s="213">
        <v>66289</v>
      </c>
      <c r="E23" s="138">
        <v>-31</v>
      </c>
      <c r="F23" s="138">
        <v>-35809</v>
      </c>
      <c r="G23" s="214">
        <f t="shared" si="7"/>
        <v>43540</v>
      </c>
      <c r="H23" s="213">
        <v>0</v>
      </c>
      <c r="I23" s="138">
        <v>0</v>
      </c>
      <c r="J23" s="214">
        <f t="shared" si="4"/>
        <v>0</v>
      </c>
      <c r="K23" s="214"/>
      <c r="L23" s="1213">
        <f t="shared" si="5"/>
        <v>43540</v>
      </c>
      <c r="M23" s="1846"/>
      <c r="N23" s="1847"/>
      <c r="O23" s="1847"/>
      <c r="P23" s="1847"/>
      <c r="Q23" s="1847"/>
      <c r="R23" s="1848"/>
      <c r="S23" s="290"/>
      <c r="T23" s="307" t="s">
        <v>970</v>
      </c>
      <c r="U23" s="143"/>
      <c r="V23" s="1227">
        <f t="shared" ref="V23:AA23" si="14">V17/V$18</f>
        <v>4.2047186567070176E-2</v>
      </c>
      <c r="W23" s="1227">
        <f t="shared" si="14"/>
        <v>2.6753762562877391E-2</v>
      </c>
      <c r="X23" s="1227">
        <f t="shared" si="14"/>
        <v>4.3110222768894355E-2</v>
      </c>
      <c r="Y23" s="1227">
        <f t="shared" si="14"/>
        <v>5.336058675003006E-2</v>
      </c>
      <c r="Z23" s="1227">
        <f t="shared" si="14"/>
        <v>4.6372769852336515E-2</v>
      </c>
      <c r="AA23" s="1228">
        <f t="shared" si="14"/>
        <v>7.2020860943827494E-2</v>
      </c>
      <c r="AB23" s="234"/>
      <c r="AC23" s="1207" t="s">
        <v>955</v>
      </c>
      <c r="AD23" s="73"/>
      <c r="AE23" s="1208">
        <f>-AE20/AE19</f>
        <v>4.635279756833028E-2</v>
      </c>
      <c r="AF23" s="1208">
        <f t="shared" ref="AF23:AJ23" si="15">-AF20/AF19</f>
        <v>5.3485068206103166E-2</v>
      </c>
      <c r="AG23" s="1208">
        <f t="shared" si="15"/>
        <v>5.6916754332640498E-2</v>
      </c>
      <c r="AH23" s="1208">
        <f t="shared" si="15"/>
        <v>5.4266261331834903E-2</v>
      </c>
      <c r="AI23" s="1208">
        <f t="shared" si="15"/>
        <v>3.2958301136733918E-2</v>
      </c>
      <c r="AJ23" s="1208">
        <f t="shared" si="15"/>
        <v>4.8989481640494478E-2</v>
      </c>
      <c r="AK23" s="1209">
        <f>AVERAGE(AE23:AJ23)</f>
        <v>4.8828110702689546E-2</v>
      </c>
    </row>
    <row r="24" spans="2:42">
      <c r="B24" s="1212" t="s">
        <v>976</v>
      </c>
      <c r="C24" s="1213">
        <v>10488</v>
      </c>
      <c r="D24" s="213">
        <v>122717</v>
      </c>
      <c r="E24" s="138">
        <v>-6897</v>
      </c>
      <c r="F24" s="138">
        <v>-105337</v>
      </c>
      <c r="G24" s="214">
        <f t="shared" si="7"/>
        <v>20971</v>
      </c>
      <c r="H24" s="213">
        <v>0</v>
      </c>
      <c r="I24" s="138">
        <v>0</v>
      </c>
      <c r="J24" s="214">
        <f t="shared" si="4"/>
        <v>0</v>
      </c>
      <c r="K24" s="214"/>
      <c r="L24" s="1229">
        <f t="shared" si="5"/>
        <v>20971</v>
      </c>
      <c r="M24" s="1230"/>
      <c r="N24" s="1219"/>
      <c r="O24" s="1219"/>
      <c r="P24" s="1219"/>
      <c r="Q24" s="1219"/>
      <c r="R24" s="1220"/>
      <c r="S24" s="290"/>
      <c r="T24" s="125"/>
      <c r="U24" s="125"/>
      <c r="V24" s="1221"/>
      <c r="W24" s="1221"/>
      <c r="X24" s="1221"/>
      <c r="Y24" s="1221"/>
      <c r="Z24" s="1221"/>
      <c r="AA24" s="1221"/>
      <c r="AB24" s="234"/>
      <c r="AF24" s="75"/>
      <c r="AG24" s="75"/>
      <c r="AH24" s="75"/>
      <c r="AI24" s="75"/>
      <c r="AJ24" s="75"/>
    </row>
    <row r="25" spans="2:42">
      <c r="B25" s="1231" t="s">
        <v>841</v>
      </c>
      <c r="C25" s="1232">
        <f>SUM(C15:C24)</f>
        <v>656068</v>
      </c>
      <c r="D25" s="228">
        <f t="shared" ref="D25" si="16">SUM(D15:D24)</f>
        <v>239817</v>
      </c>
      <c r="E25" s="229">
        <f>SUM(E15:E24)</f>
        <v>-68470</v>
      </c>
      <c r="F25" s="229">
        <f>SUM(F15:F24)</f>
        <v>0</v>
      </c>
      <c r="G25" s="230">
        <f>SUM(C25:F25)</f>
        <v>827415</v>
      </c>
      <c r="H25" s="228">
        <f>SUM(H15:H24)</f>
        <v>78939</v>
      </c>
      <c r="I25" s="229">
        <f>SUM(I15:I24)</f>
        <v>-40586</v>
      </c>
      <c r="J25" s="230">
        <f>SUM(J15:J24)</f>
        <v>38353</v>
      </c>
      <c r="K25" s="230">
        <f>SUM(K15:K24)</f>
        <v>0</v>
      </c>
      <c r="L25" s="1229">
        <f t="shared" si="5"/>
        <v>789062</v>
      </c>
      <c r="M25" s="1233"/>
      <c r="N25" s="1234"/>
      <c r="O25" s="1234"/>
      <c r="P25" s="1234"/>
      <c r="Q25" s="1234"/>
      <c r="R25" s="1235"/>
      <c r="S25" s="290"/>
      <c r="T25" s="125"/>
      <c r="U25" s="125"/>
      <c r="V25" s="1221"/>
      <c r="W25" s="1221"/>
      <c r="X25" s="1221"/>
      <c r="Y25" s="1221"/>
      <c r="Z25" s="1221"/>
      <c r="AA25" s="1221"/>
      <c r="AB25" s="234"/>
      <c r="AE25" s="75">
        <f t="shared" ref="AE25:AI25" si="17">AE17/AE16</f>
        <v>-0.10436418176164666</v>
      </c>
      <c r="AF25" s="75">
        <f t="shared" si="17"/>
        <v>-8.161716062869584E-2</v>
      </c>
      <c r="AG25" s="75">
        <f t="shared" si="17"/>
        <v>-4.604195511995228E-2</v>
      </c>
      <c r="AH25" s="75">
        <f t="shared" si="17"/>
        <v>-5.4388896287509716E-2</v>
      </c>
      <c r="AI25" s="75">
        <f t="shared" si="17"/>
        <v>-7.474045778297507E-2</v>
      </c>
      <c r="AJ25" s="75">
        <f>AJ17/AJ16</f>
        <v>-3.4087767587773599E-2</v>
      </c>
      <c r="AK25" s="1444">
        <f>AVERAGE(AE25:AJ25)</f>
        <v>-6.5873403194758859E-2</v>
      </c>
    </row>
    <row r="26" spans="2:42">
      <c r="C26" s="234"/>
      <c r="D26" s="234"/>
      <c r="E26" s="234"/>
      <c r="F26" s="234"/>
      <c r="G26" s="311"/>
      <c r="H26" s="947">
        <f>SUM(C25:E25)</f>
        <v>827415</v>
      </c>
      <c r="I26" s="311">
        <f>J25/H26</f>
        <v>4.635279756833028E-2</v>
      </c>
      <c r="J26" s="234"/>
      <c r="K26" s="234"/>
      <c r="L26" s="234"/>
      <c r="M26" s="234"/>
      <c r="N26" s="234"/>
      <c r="O26" s="234"/>
      <c r="P26" s="234"/>
      <c r="Q26" s="234"/>
      <c r="R26" s="234"/>
      <c r="S26" s="290"/>
      <c r="T26" s="1248" t="s">
        <v>1375</v>
      </c>
      <c r="U26" s="202"/>
      <c r="V26" s="202">
        <v>2.8090000000000002</v>
      </c>
      <c r="W26" s="202">
        <v>2.6970000000000001</v>
      </c>
      <c r="X26" s="202">
        <v>2.5510000000000002</v>
      </c>
      <c r="Y26" s="202">
        <v>2.7959999999999998</v>
      </c>
      <c r="Z26" s="202">
        <v>2.99</v>
      </c>
      <c r="AA26" s="202">
        <v>3.41</v>
      </c>
      <c r="AB26" s="234"/>
      <c r="AF26" s="75"/>
      <c r="AG26" s="75"/>
      <c r="AH26" s="75"/>
      <c r="AI26" s="75"/>
      <c r="AJ26" s="75"/>
    </row>
    <row r="27" spans="2:42" ht="38.25">
      <c r="B27" s="1236">
        <v>2011</v>
      </c>
      <c r="C27" s="1237">
        <v>2010</v>
      </c>
      <c r="D27" s="888" t="s">
        <v>961</v>
      </c>
      <c r="E27" s="889" t="s">
        <v>950</v>
      </c>
      <c r="F27" s="889" t="s">
        <v>962</v>
      </c>
      <c r="G27" s="889" t="s">
        <v>841</v>
      </c>
      <c r="H27" s="890" t="s">
        <v>963</v>
      </c>
      <c r="I27" s="891" t="s">
        <v>964</v>
      </c>
      <c r="J27" s="891" t="s">
        <v>841</v>
      </c>
      <c r="K27" s="892" t="s">
        <v>958</v>
      </c>
      <c r="L27" s="893" t="s">
        <v>977</v>
      </c>
      <c r="M27" s="1831" t="s">
        <v>960</v>
      </c>
      <c r="N27" s="1832"/>
      <c r="O27" s="1832"/>
      <c r="P27" s="1832"/>
      <c r="Q27" s="1832"/>
      <c r="R27" s="1833"/>
      <c r="S27" s="290"/>
      <c r="T27" s="1813" t="s">
        <v>1387</v>
      </c>
      <c r="U27" s="1814"/>
      <c r="V27" s="1814"/>
      <c r="W27" s="1814"/>
      <c r="X27" s="1814"/>
      <c r="Y27" s="1814"/>
      <c r="Z27" s="1814"/>
      <c r="AA27" s="1815"/>
      <c r="AB27" s="1238"/>
      <c r="AC27" s="200" t="s">
        <v>1399</v>
      </c>
      <c r="AF27" s="75"/>
      <c r="AG27" s="75"/>
      <c r="AH27" s="75"/>
      <c r="AI27" s="75"/>
      <c r="AJ27" s="75"/>
      <c r="AL27" s="75"/>
    </row>
    <row r="28" spans="2:42">
      <c r="B28" s="1212" t="s">
        <v>966</v>
      </c>
      <c r="C28" s="1213">
        <f>L15</f>
        <v>150506</v>
      </c>
      <c r="D28" s="138">
        <v>442</v>
      </c>
      <c r="E28" s="138">
        <v>0</v>
      </c>
      <c r="F28" s="138">
        <v>0</v>
      </c>
      <c r="G28" s="214">
        <f>SUM(C28:F28)</f>
        <v>150948</v>
      </c>
      <c r="H28" s="138">
        <v>0</v>
      </c>
      <c r="I28" s="138">
        <v>0</v>
      </c>
      <c r="J28" s="138">
        <f t="shared" ref="J28:J37" si="18">SUM(H28:I28)</f>
        <v>0</v>
      </c>
      <c r="K28" s="1239"/>
      <c r="L28" s="1213">
        <f>G28-J28+K28</f>
        <v>150948</v>
      </c>
      <c r="M28" s="1825" t="s">
        <v>978</v>
      </c>
      <c r="N28" s="1826"/>
      <c r="O28" s="1826"/>
      <c r="P28" s="1826"/>
      <c r="Q28" s="1826"/>
      <c r="R28" s="1827"/>
      <c r="S28" s="290"/>
      <c r="T28" s="275"/>
      <c r="U28" s="151"/>
      <c r="V28" s="247">
        <v>2010</v>
      </c>
      <c r="W28" s="247">
        <v>2011</v>
      </c>
      <c r="X28" s="247">
        <v>2012</v>
      </c>
      <c r="Y28" s="247">
        <v>2013</v>
      </c>
      <c r="Z28" s="247">
        <v>2014</v>
      </c>
      <c r="AA28" s="248">
        <v>2015</v>
      </c>
      <c r="AC28" s="113" t="s">
        <v>1375</v>
      </c>
      <c r="AD28" s="202"/>
      <c r="AE28" s="202">
        <v>2.8090000000000002</v>
      </c>
      <c r="AF28" s="202">
        <v>2.6970000000000001</v>
      </c>
      <c r="AG28" s="202">
        <v>2.5510000000000002</v>
      </c>
      <c r="AH28" s="202">
        <v>2.7959999999999998</v>
      </c>
      <c r="AI28" s="202">
        <v>2.99</v>
      </c>
      <c r="AJ28" s="202">
        <v>3.41</v>
      </c>
    </row>
    <row r="29" spans="2:42">
      <c r="B29" s="1212" t="s">
        <v>938</v>
      </c>
      <c r="C29" s="1213">
        <f t="shared" ref="C29:C37" si="19">L16</f>
        <v>79984</v>
      </c>
      <c r="D29" s="138">
        <v>989</v>
      </c>
      <c r="E29" s="138">
        <v>0</v>
      </c>
      <c r="F29" s="138">
        <v>14448</v>
      </c>
      <c r="G29" s="214">
        <f t="shared" ref="G29:G37" si="20">SUM(C29:F29)</f>
        <v>95421</v>
      </c>
      <c r="H29" s="138">
        <v>2440</v>
      </c>
      <c r="I29" s="138">
        <v>0</v>
      </c>
      <c r="J29" s="138">
        <f t="shared" si="18"/>
        <v>2440</v>
      </c>
      <c r="K29" s="1239"/>
      <c r="L29" s="1213">
        <f t="shared" ref="L29:L38" si="21">G29-J29+K29</f>
        <v>92981</v>
      </c>
      <c r="M29" s="1825"/>
      <c r="N29" s="1826"/>
      <c r="O29" s="1826"/>
      <c r="P29" s="1826"/>
      <c r="Q29" s="1826"/>
      <c r="R29" s="1827"/>
      <c r="S29" s="290"/>
      <c r="T29" s="270" t="s">
        <v>965</v>
      </c>
      <c r="U29" s="1198"/>
      <c r="V29" s="271">
        <f>V14/V$26</f>
        <v>17861.160555357779</v>
      </c>
      <c r="W29" s="271">
        <f t="shared" ref="W29:AA29" si="22">W14/W$26</f>
        <v>21990.359658880236</v>
      </c>
      <c r="X29" s="271">
        <f t="shared" si="22"/>
        <v>27168.561348490788</v>
      </c>
      <c r="Y29" s="271">
        <f t="shared" si="22"/>
        <v>26680.615164520746</v>
      </c>
      <c r="Z29" s="271">
        <f t="shared" si="22"/>
        <v>26982.274247491638</v>
      </c>
      <c r="AA29" s="272">
        <f t="shared" si="22"/>
        <v>26652.785923753665</v>
      </c>
      <c r="AC29" s="227"/>
      <c r="AD29" s="1194"/>
      <c r="AE29" s="1195">
        <v>2010</v>
      </c>
      <c r="AF29" s="1195">
        <v>2011</v>
      </c>
      <c r="AG29" s="1195">
        <v>2012</v>
      </c>
      <c r="AH29" s="1195">
        <v>2013</v>
      </c>
      <c r="AI29" s="1195">
        <v>2014</v>
      </c>
      <c r="AJ29" s="1196">
        <v>2015</v>
      </c>
      <c r="AL29" s="1452">
        <v>2016</v>
      </c>
      <c r="AM29" s="1453">
        <v>2017</v>
      </c>
      <c r="AN29" s="1453">
        <v>2018</v>
      </c>
      <c r="AO29" s="1453">
        <v>2019</v>
      </c>
      <c r="AP29" s="1454">
        <v>2020</v>
      </c>
    </row>
    <row r="30" spans="2:42">
      <c r="B30" s="1212" t="s">
        <v>941</v>
      </c>
      <c r="C30" s="1213">
        <f t="shared" si="19"/>
        <v>265968</v>
      </c>
      <c r="D30" s="138">
        <v>9907</v>
      </c>
      <c r="E30" s="138">
        <v>-5934</v>
      </c>
      <c r="F30" s="138">
        <v>12634</v>
      </c>
      <c r="G30" s="214">
        <f t="shared" si="20"/>
        <v>282575</v>
      </c>
      <c r="H30" s="138">
        <v>24433</v>
      </c>
      <c r="I30" s="138">
        <v>-5604</v>
      </c>
      <c r="J30" s="138">
        <f t="shared" si="18"/>
        <v>18829</v>
      </c>
      <c r="K30" s="1239"/>
      <c r="L30" s="1213">
        <f t="shared" si="21"/>
        <v>263746</v>
      </c>
      <c r="M30" s="1825"/>
      <c r="N30" s="1826"/>
      <c r="O30" s="1826"/>
      <c r="P30" s="1826"/>
      <c r="Q30" s="1826"/>
      <c r="R30" s="1827"/>
      <c r="S30" s="1215"/>
      <c r="T30" s="212" t="s">
        <v>968</v>
      </c>
      <c r="U30" s="125"/>
      <c r="V30" s="138">
        <f t="shared" ref="V30:AA30" si="23">V15/V$26</f>
        <v>7809.8967604129575</v>
      </c>
      <c r="W30" s="138">
        <f t="shared" si="23"/>
        <v>12484.241750092695</v>
      </c>
      <c r="X30" s="138">
        <f t="shared" si="23"/>
        <v>15471.187769502156</v>
      </c>
      <c r="Y30" s="138">
        <f t="shared" si="23"/>
        <v>14247.138769670959</v>
      </c>
      <c r="Z30" s="138">
        <f t="shared" si="23"/>
        <v>15735.785953177256</v>
      </c>
      <c r="AA30" s="214">
        <f t="shared" si="23"/>
        <v>15655.777126099705</v>
      </c>
      <c r="AB30" s="1240"/>
      <c r="AC30" s="212" t="s">
        <v>940</v>
      </c>
      <c r="AD30" s="125"/>
      <c r="AE30" s="138">
        <f t="shared" ref="AE30:AJ32" si="24">AE16/AE$28</f>
        <v>233559.27376290492</v>
      </c>
      <c r="AF30" s="138">
        <f t="shared" si="24"/>
        <v>292570.26325546904</v>
      </c>
      <c r="AG30" s="138">
        <f t="shared" si="24"/>
        <v>427796.55037240294</v>
      </c>
      <c r="AH30" s="138">
        <f t="shared" si="24"/>
        <v>461921.31616595137</v>
      </c>
      <c r="AI30" s="138">
        <f t="shared" si="24"/>
        <v>538541.47157190635</v>
      </c>
      <c r="AJ30" s="214">
        <f t="shared" si="24"/>
        <v>609948.68035190611</v>
      </c>
      <c r="AL30" s="1463">
        <f>AJ36</f>
        <v>623974.780058651</v>
      </c>
      <c r="AM30" s="1464">
        <f>AL36</f>
        <v>620992.95894952619</v>
      </c>
      <c r="AN30" s="1464">
        <f t="shared" ref="AN30:AP30" si="25">AM36</f>
        <v>618343.56628624536</v>
      </c>
      <c r="AO30" s="1464">
        <f t="shared" si="25"/>
        <v>615989.54127020179</v>
      </c>
      <c r="AP30" s="1465">
        <f t="shared" si="25"/>
        <v>613897.95482740691</v>
      </c>
    </row>
    <row r="31" spans="2:42">
      <c r="B31" s="1212" t="s">
        <v>945</v>
      </c>
      <c r="C31" s="1213">
        <f t="shared" si="19"/>
        <v>11524</v>
      </c>
      <c r="D31" s="138">
        <v>201</v>
      </c>
      <c r="E31" s="138">
        <v>-1181</v>
      </c>
      <c r="F31" s="138">
        <v>213</v>
      </c>
      <c r="G31" s="214">
        <f t="shared" si="20"/>
        <v>10757</v>
      </c>
      <c r="H31" s="138">
        <v>1622</v>
      </c>
      <c r="I31" s="138">
        <v>-1031</v>
      </c>
      <c r="J31" s="138">
        <f t="shared" si="18"/>
        <v>591</v>
      </c>
      <c r="K31" s="1239"/>
      <c r="L31" s="1213">
        <f t="shared" si="21"/>
        <v>10166</v>
      </c>
      <c r="M31" s="1825"/>
      <c r="N31" s="1826"/>
      <c r="O31" s="1826"/>
      <c r="P31" s="1826"/>
      <c r="Q31" s="1826"/>
      <c r="R31" s="1827"/>
      <c r="S31" s="879"/>
      <c r="T31" s="212" t="s">
        <v>969</v>
      </c>
      <c r="U31" s="125"/>
      <c r="V31" s="138">
        <f t="shared" ref="V31:AA31" si="26">V16/V$26</f>
        <v>1402.2783908864365</v>
      </c>
      <c r="W31" s="138">
        <f t="shared" si="26"/>
        <v>1323.3222098628105</v>
      </c>
      <c r="X31" s="138">
        <f t="shared" si="26"/>
        <v>1274.4021952175617</v>
      </c>
      <c r="Y31" s="138">
        <f t="shared" si="26"/>
        <v>1310.4434907010016</v>
      </c>
      <c r="Z31" s="138">
        <f t="shared" si="26"/>
        <v>1883.9464882943143</v>
      </c>
      <c r="AA31" s="214">
        <f t="shared" si="26"/>
        <v>2003.2844574780058</v>
      </c>
      <c r="AB31" s="234"/>
      <c r="AC31" s="212" t="s">
        <v>971</v>
      </c>
      <c r="AD31" s="125"/>
      <c r="AE31" s="138">
        <f t="shared" si="24"/>
        <v>-24375.222499110001</v>
      </c>
      <c r="AF31" s="138">
        <f t="shared" si="24"/>
        <v>-23878.754171301447</v>
      </c>
      <c r="AG31" s="138">
        <f t="shared" si="24"/>
        <v>-19696.589572716581</v>
      </c>
      <c r="AH31" s="138">
        <f t="shared" si="24"/>
        <v>-25123.390557939914</v>
      </c>
      <c r="AI31" s="138">
        <f t="shared" si="24"/>
        <v>-40250.836120401334</v>
      </c>
      <c r="AJ31" s="214">
        <f t="shared" si="24"/>
        <v>-20791.788856304986</v>
      </c>
      <c r="AK31" s="75"/>
      <c r="AL31" s="1466">
        <f>AL30*$AK$41</f>
        <v>-41103.342270164496</v>
      </c>
      <c r="AM31" s="1467">
        <f>AM30*$AK$41</f>
        <v>-40906.919565988479</v>
      </c>
      <c r="AN31" s="1467">
        <f t="shared" ref="AN31:AP31" si="27">AN30*$AK$41</f>
        <v>-40732.395054858942</v>
      </c>
      <c r="AO31" s="1467">
        <f t="shared" si="27"/>
        <v>-40577.327415846557</v>
      </c>
      <c r="AP31" s="1468">
        <f t="shared" si="27"/>
        <v>-40439.547498783635</v>
      </c>
    </row>
    <row r="32" spans="2:42" ht="15" customHeight="1">
      <c r="B32" s="1212" t="s">
        <v>948</v>
      </c>
      <c r="C32" s="1213">
        <f t="shared" si="19"/>
        <v>11016</v>
      </c>
      <c r="D32" s="138">
        <v>982</v>
      </c>
      <c r="E32" s="138">
        <v>-1502</v>
      </c>
      <c r="F32" s="138">
        <v>2652</v>
      </c>
      <c r="G32" s="214">
        <f t="shared" si="20"/>
        <v>13148</v>
      </c>
      <c r="H32" s="138">
        <v>1754</v>
      </c>
      <c r="I32" s="138">
        <v>-1138</v>
      </c>
      <c r="J32" s="138">
        <f t="shared" si="18"/>
        <v>616</v>
      </c>
      <c r="K32" s="1239"/>
      <c r="L32" s="1213">
        <f t="shared" si="21"/>
        <v>12532</v>
      </c>
      <c r="M32" s="1825"/>
      <c r="N32" s="1826"/>
      <c r="O32" s="1826"/>
      <c r="P32" s="1826"/>
      <c r="Q32" s="1826"/>
      <c r="R32" s="1827"/>
      <c r="S32" s="290"/>
      <c r="T32" s="212" t="s">
        <v>970</v>
      </c>
      <c r="U32" s="125"/>
      <c r="V32" s="138">
        <f t="shared" ref="V32:AA32" si="28">V17/V$26</f>
        <v>1188.3232467070131</v>
      </c>
      <c r="W32" s="138">
        <f t="shared" si="28"/>
        <v>984.05635891731549</v>
      </c>
      <c r="X32" s="138">
        <f t="shared" si="28"/>
        <v>1978.4398275186199</v>
      </c>
      <c r="Y32" s="138">
        <f t="shared" si="28"/>
        <v>2380.9012875536482</v>
      </c>
      <c r="Z32" s="138">
        <f t="shared" si="28"/>
        <v>2168.8963210702341</v>
      </c>
      <c r="AA32" s="214">
        <f t="shared" si="28"/>
        <v>3439.0615835777126</v>
      </c>
      <c r="AB32" s="234"/>
      <c r="AC32" s="212" t="s">
        <v>944</v>
      </c>
      <c r="AD32" s="125"/>
      <c r="AE32" s="138">
        <f t="shared" si="24"/>
        <v>85374.510501957993</v>
      </c>
      <c r="AF32" s="138">
        <f t="shared" si="24"/>
        <v>158811.64256581388</v>
      </c>
      <c r="AG32" s="138">
        <f t="shared" si="24"/>
        <v>130349.66679733437</v>
      </c>
      <c r="AH32" s="138">
        <f t="shared" si="24"/>
        <v>179329.04148783977</v>
      </c>
      <c r="AI32" s="138">
        <f>AI18/AI$28</f>
        <v>220190.96989966554</v>
      </c>
      <c r="AJ32" s="214">
        <f t="shared" si="24"/>
        <v>80500.293255131968</v>
      </c>
      <c r="AL32" s="213">
        <f>Supuestos!D28</f>
        <v>70000</v>
      </c>
      <c r="AM32" s="138">
        <f>Supuestos!E28</f>
        <v>70000</v>
      </c>
      <c r="AN32" s="138">
        <f>Supuestos!F28</f>
        <v>70000</v>
      </c>
      <c r="AO32" s="138">
        <f>Supuestos!G28</f>
        <v>70000</v>
      </c>
      <c r="AP32" s="214">
        <f>Supuestos!H28</f>
        <v>30000</v>
      </c>
    </row>
    <row r="33" spans="1:42">
      <c r="B33" s="1212" t="s">
        <v>951</v>
      </c>
      <c r="C33" s="1213">
        <f t="shared" si="19"/>
        <v>89339</v>
      </c>
      <c r="D33" s="138">
        <v>7988</v>
      </c>
      <c r="E33" s="138">
        <v>-25340</v>
      </c>
      <c r="F33" s="138">
        <v>37778</v>
      </c>
      <c r="G33" s="214">
        <f t="shared" si="20"/>
        <v>109765</v>
      </c>
      <c r="H33" s="138">
        <v>32074</v>
      </c>
      <c r="I33" s="138">
        <v>-19170</v>
      </c>
      <c r="J33" s="138">
        <f t="shared" si="18"/>
        <v>12904</v>
      </c>
      <c r="K33" s="1239"/>
      <c r="L33" s="1213">
        <f t="shared" si="21"/>
        <v>96861</v>
      </c>
      <c r="M33" s="1825"/>
      <c r="N33" s="1826"/>
      <c r="O33" s="1826"/>
      <c r="P33" s="1826"/>
      <c r="Q33" s="1826"/>
      <c r="R33" s="1827"/>
      <c r="S33" s="290"/>
      <c r="T33" s="1201" t="s">
        <v>783</v>
      </c>
      <c r="U33" s="1202"/>
      <c r="V33" s="1203">
        <f t="shared" ref="V33:Y33" si="29">SUM(V29:V32)</f>
        <v>28261.658953364185</v>
      </c>
      <c r="W33" s="1203">
        <f t="shared" si="29"/>
        <v>36781.979977753057</v>
      </c>
      <c r="X33" s="1203">
        <f t="shared" si="29"/>
        <v>45892.591140729121</v>
      </c>
      <c r="Y33" s="1203">
        <f t="shared" si="29"/>
        <v>44619.098712446357</v>
      </c>
      <c r="Z33" s="1203">
        <f>SUM(Z29:Z32)</f>
        <v>46770.903010033442</v>
      </c>
      <c r="AA33" s="1031">
        <f>SUM(AA29:AA32)</f>
        <v>47750.909090909088</v>
      </c>
      <c r="AC33" s="1217" t="s">
        <v>922</v>
      </c>
      <c r="AD33" s="1218"/>
      <c r="AE33" s="1219">
        <f>SUM(AE30:AE32)</f>
        <v>294558.56176575291</v>
      </c>
      <c r="AF33" s="1219">
        <f t="shared" ref="AF33:AJ33" si="30">SUM(AF30:AF32)</f>
        <v>427503.1516499815</v>
      </c>
      <c r="AG33" s="1219">
        <f t="shared" si="30"/>
        <v>538449.62759702071</v>
      </c>
      <c r="AH33" s="1219">
        <f t="shared" si="30"/>
        <v>616126.9670958512</v>
      </c>
      <c r="AI33" s="1219">
        <f t="shared" si="30"/>
        <v>718481.60535117052</v>
      </c>
      <c r="AJ33" s="1220">
        <f t="shared" si="30"/>
        <v>669657.18475073308</v>
      </c>
      <c r="AL33" s="1463">
        <f>SUM(AL30:AL32)</f>
        <v>652871.43778848648</v>
      </c>
      <c r="AM33" s="1464">
        <f>SUM(AM30:AM32)</f>
        <v>650086.03938353772</v>
      </c>
      <c r="AN33" s="1464">
        <f t="shared" ref="AN33:AP33" si="31">SUM(AN30:AN32)</f>
        <v>647611.17123138637</v>
      </c>
      <c r="AO33" s="1464">
        <f t="shared" si="31"/>
        <v>645412.21385435527</v>
      </c>
      <c r="AP33" s="1465">
        <f t="shared" si="31"/>
        <v>603458.40732862323</v>
      </c>
    </row>
    <row r="34" spans="1:42">
      <c r="B34" s="1212" t="s">
        <v>954</v>
      </c>
      <c r="C34" s="1213">
        <f t="shared" si="19"/>
        <v>114808</v>
      </c>
      <c r="D34" s="138">
        <v>20918</v>
      </c>
      <c r="E34" s="138">
        <v>-14918</v>
      </c>
      <c r="F34" s="138">
        <v>33807</v>
      </c>
      <c r="G34" s="214">
        <f t="shared" si="20"/>
        <v>154615</v>
      </c>
      <c r="H34" s="138">
        <v>36475</v>
      </c>
      <c r="I34" s="138">
        <v>-10188</v>
      </c>
      <c r="J34" s="138">
        <f t="shared" si="18"/>
        <v>26287</v>
      </c>
      <c r="K34" s="1239"/>
      <c r="L34" s="1213">
        <f t="shared" si="21"/>
        <v>128328</v>
      </c>
      <c r="M34" s="1230"/>
      <c r="N34" s="1219"/>
      <c r="O34" s="1219"/>
      <c r="P34" s="1219"/>
      <c r="Q34" s="1219"/>
      <c r="R34" s="1220"/>
      <c r="S34" s="290"/>
      <c r="T34" s="270"/>
      <c r="U34" s="1198"/>
      <c r="V34" s="1198"/>
      <c r="W34" s="1198"/>
      <c r="X34" s="1198"/>
      <c r="Y34" s="1198"/>
      <c r="Z34" s="1198"/>
      <c r="AA34" s="1216"/>
      <c r="AC34" s="212" t="s">
        <v>752</v>
      </c>
      <c r="AD34" s="125"/>
      <c r="AE34" s="138">
        <f t="shared" ref="AE34:AH35" si="32">AE20/AE$28</f>
        <v>-13653.613385546458</v>
      </c>
      <c r="AF34" s="138">
        <f t="shared" si="32"/>
        <v>-22865.035224323321</v>
      </c>
      <c r="AG34" s="138">
        <f t="shared" si="32"/>
        <v>-30646.805174441393</v>
      </c>
      <c r="AH34" s="138">
        <f t="shared" si="32"/>
        <v>-33434.907010014307</v>
      </c>
      <c r="AI34" s="138">
        <f>AI20/AI$28</f>
        <v>-23679.933110367892</v>
      </c>
      <c r="AJ34" s="214">
        <f>AJ20/AJ$28</f>
        <v>-32806.158357771259</v>
      </c>
      <c r="AL34" s="213">
        <f>-AL33*$AK$37</f>
        <v>-31878.478838960309</v>
      </c>
      <c r="AM34" s="138">
        <f>-AM33*$AK$37</f>
        <v>-31742.473097292375</v>
      </c>
      <c r="AN34" s="138">
        <f t="shared" ref="AN34:AP34" si="33">-AN33*$AK$37</f>
        <v>-31621.629961184568</v>
      </c>
      <c r="AO34" s="138">
        <f t="shared" si="33"/>
        <v>-31514.259026948399</v>
      </c>
      <c r="AP34" s="214">
        <f t="shared" si="33"/>
        <v>-29465.733917510737</v>
      </c>
    </row>
    <row r="35" spans="1:42" s="208" customFormat="1">
      <c r="A35" s="62"/>
      <c r="B35" s="1212" t="s">
        <v>974</v>
      </c>
      <c r="C35" s="1213">
        <f t="shared" si="19"/>
        <v>1406</v>
      </c>
      <c r="D35" s="138">
        <v>0</v>
      </c>
      <c r="E35" s="138">
        <v>0</v>
      </c>
      <c r="F35" s="138">
        <v>-1406</v>
      </c>
      <c r="G35" s="214">
        <f t="shared" si="20"/>
        <v>0</v>
      </c>
      <c r="H35" s="138">
        <v>0</v>
      </c>
      <c r="I35" s="138">
        <v>0</v>
      </c>
      <c r="J35" s="138">
        <f t="shared" si="18"/>
        <v>0</v>
      </c>
      <c r="K35" s="1239"/>
      <c r="L35" s="1213">
        <f t="shared" si="21"/>
        <v>0</v>
      </c>
      <c r="M35" s="1230"/>
      <c r="N35" s="1219"/>
      <c r="O35" s="1219"/>
      <c r="P35" s="1219"/>
      <c r="Q35" s="1219"/>
      <c r="R35" s="1220"/>
      <c r="S35" s="290"/>
      <c r="T35" s="212" t="s">
        <v>965</v>
      </c>
      <c r="U35" s="125"/>
      <c r="V35" s="1221">
        <f t="shared" ref="V35:AA38" si="34">V29/V$33</f>
        <v>0.63199264363182894</v>
      </c>
      <c r="W35" s="1221">
        <f t="shared" si="34"/>
        <v>0.59785687644277774</v>
      </c>
      <c r="X35" s="1221">
        <f t="shared" si="34"/>
        <v>0.59200321169878367</v>
      </c>
      <c r="Y35" s="1221">
        <f t="shared" si="34"/>
        <v>0.59796400945853867</v>
      </c>
      <c r="Z35" s="1221">
        <f t="shared" si="34"/>
        <v>0.57690299974972292</v>
      </c>
      <c r="AA35" s="1222">
        <f t="shared" si="34"/>
        <v>0.55816290058502516</v>
      </c>
      <c r="AB35" s="62"/>
      <c r="AC35" s="212" t="s">
        <v>953</v>
      </c>
      <c r="AD35" s="125"/>
      <c r="AE35" s="138">
        <f t="shared" si="32"/>
        <v>0</v>
      </c>
      <c r="AF35" s="138">
        <f t="shared" si="32"/>
        <v>0</v>
      </c>
      <c r="AG35" s="138">
        <f t="shared" si="32"/>
        <v>-1518.2281458251666</v>
      </c>
      <c r="AH35" s="138">
        <f t="shared" si="32"/>
        <v>-6783.9771101573679</v>
      </c>
      <c r="AI35" s="138">
        <f>AI21/AI$28</f>
        <v>825.41806020066883</v>
      </c>
      <c r="AJ35" s="214">
        <f>AJ21/AJ$28</f>
        <v>-12876.24633431085</v>
      </c>
      <c r="AK35" s="62"/>
      <c r="AL35" s="249"/>
      <c r="AM35" s="1451"/>
      <c r="AN35" s="1451"/>
      <c r="AO35" s="1451"/>
      <c r="AP35" s="250"/>
    </row>
    <row r="36" spans="1:42">
      <c r="B36" s="1212" t="s">
        <v>975</v>
      </c>
      <c r="C36" s="1213">
        <f t="shared" si="19"/>
        <v>43540</v>
      </c>
      <c r="D36" s="138">
        <v>142905</v>
      </c>
      <c r="E36" s="138">
        <v>-1135</v>
      </c>
      <c r="F36" s="138">
        <v>-26981</v>
      </c>
      <c r="G36" s="214">
        <f t="shared" si="20"/>
        <v>158329</v>
      </c>
      <c r="H36" s="138">
        <v>0</v>
      </c>
      <c r="I36" s="138">
        <v>0</v>
      </c>
      <c r="J36" s="138">
        <f t="shared" si="18"/>
        <v>0</v>
      </c>
      <c r="K36" s="1239"/>
      <c r="L36" s="1213">
        <f t="shared" si="21"/>
        <v>158329</v>
      </c>
      <c r="M36" s="1230"/>
      <c r="N36" s="1219"/>
      <c r="O36" s="1219"/>
      <c r="P36" s="1219"/>
      <c r="Q36" s="1219"/>
      <c r="R36" s="1220"/>
      <c r="S36" s="290"/>
      <c r="T36" s="212" t="s">
        <v>968</v>
      </c>
      <c r="U36" s="125"/>
      <c r="V36" s="1221">
        <f t="shared" si="34"/>
        <v>0.27634247420862357</v>
      </c>
      <c r="W36" s="1221">
        <f t="shared" si="34"/>
        <v>0.33941190108970676</v>
      </c>
      <c r="X36" s="1221">
        <f t="shared" si="34"/>
        <v>0.33711732950662843</v>
      </c>
      <c r="Y36" s="1221">
        <f t="shared" si="34"/>
        <v>0.31930583944531277</v>
      </c>
      <c r="Z36" s="1221">
        <f t="shared" si="34"/>
        <v>0.33644392005434587</v>
      </c>
      <c r="AA36" s="1222">
        <f t="shared" si="34"/>
        <v>0.32786343598807594</v>
      </c>
      <c r="AC36" s="1223" t="s">
        <v>783</v>
      </c>
      <c r="AD36" s="1224"/>
      <c r="AE36" s="1225">
        <f>SUM(AE33:AE35)</f>
        <v>280904.94838020648</v>
      </c>
      <c r="AF36" s="1225">
        <f t="shared" ref="AF36:AH36" si="35">SUM(AF33:AF35)</f>
        <v>404638.11642565817</v>
      </c>
      <c r="AG36" s="1225">
        <f t="shared" si="35"/>
        <v>506284.59427675419</v>
      </c>
      <c r="AH36" s="1225">
        <f t="shared" si="35"/>
        <v>575908.08297567954</v>
      </c>
      <c r="AI36" s="1225">
        <f>SUM(AI33:AI35)</f>
        <v>695627.09030100331</v>
      </c>
      <c r="AJ36" s="1226">
        <f>SUM(AJ33:AJ35)</f>
        <v>623974.780058651</v>
      </c>
      <c r="AL36" s="1469">
        <f>SUM(AL33:AL35)</f>
        <v>620992.95894952619</v>
      </c>
      <c r="AM36" s="1470">
        <f>SUM(AM33:AM35)</f>
        <v>618343.56628624536</v>
      </c>
      <c r="AN36" s="1470">
        <f t="shared" ref="AN36:AP36" si="36">SUM(AN33:AN35)</f>
        <v>615989.54127020179</v>
      </c>
      <c r="AO36" s="1470">
        <f t="shared" si="36"/>
        <v>613897.95482740691</v>
      </c>
      <c r="AP36" s="1471">
        <f t="shared" si="36"/>
        <v>573992.67341111251</v>
      </c>
    </row>
    <row r="37" spans="1:42">
      <c r="B37" s="1241" t="s">
        <v>976</v>
      </c>
      <c r="C37" s="1229">
        <f t="shared" si="19"/>
        <v>20971</v>
      </c>
      <c r="D37" s="1199">
        <v>243983</v>
      </c>
      <c r="E37" s="1199">
        <v>-14391</v>
      </c>
      <c r="F37" s="1199">
        <v>-73145</v>
      </c>
      <c r="G37" s="1200">
        <f t="shared" si="20"/>
        <v>177418</v>
      </c>
      <c r="H37" s="1199">
        <v>0</v>
      </c>
      <c r="I37" s="1199">
        <v>0</v>
      </c>
      <c r="J37" s="1199">
        <f t="shared" si="18"/>
        <v>0</v>
      </c>
      <c r="K37" s="1242"/>
      <c r="L37" s="1229">
        <f t="shared" si="21"/>
        <v>177418</v>
      </c>
      <c r="M37" s="1230"/>
      <c r="N37" s="1219"/>
      <c r="O37" s="1219"/>
      <c r="P37" s="1219"/>
      <c r="Q37" s="1219"/>
      <c r="R37" s="1220"/>
      <c r="S37" s="290"/>
      <c r="T37" s="212" t="s">
        <v>969</v>
      </c>
      <c r="U37" s="125"/>
      <c r="V37" s="1221">
        <f t="shared" si="34"/>
        <v>4.9617695592477362E-2</v>
      </c>
      <c r="W37" s="1221">
        <f t="shared" si="34"/>
        <v>3.5977459904638062E-2</v>
      </c>
      <c r="X37" s="1221">
        <f t="shared" si="34"/>
        <v>2.7769236025693592E-2</v>
      </c>
      <c r="Y37" s="1221">
        <f t="shared" si="34"/>
        <v>2.9369564346118392E-2</v>
      </c>
      <c r="Z37" s="1221">
        <f t="shared" si="34"/>
        <v>4.0280310343594694E-2</v>
      </c>
      <c r="AA37" s="1222">
        <f t="shared" si="34"/>
        <v>4.1952802483071365E-2</v>
      </c>
      <c r="AC37" s="1207" t="s">
        <v>955</v>
      </c>
      <c r="AD37" s="73"/>
      <c r="AE37" s="1208">
        <f>-AE34/AE33</f>
        <v>4.6352797568330287E-2</v>
      </c>
      <c r="AF37" s="1208">
        <f>-AF34/AF33</f>
        <v>5.3485068206103152E-2</v>
      </c>
      <c r="AG37" s="1208">
        <f>-AG34/AG33</f>
        <v>5.6916754332640505E-2</v>
      </c>
      <c r="AH37" s="1208">
        <f>-AH34/AH33</f>
        <v>5.4266261331834903E-2</v>
      </c>
      <c r="AI37" s="1208">
        <f t="shared" ref="AI37" si="37">-AI34/AI33</f>
        <v>3.2958301136733918E-2</v>
      </c>
      <c r="AJ37" s="1208">
        <f>-AJ34/AJ33</f>
        <v>4.8989481640494478E-2</v>
      </c>
      <c r="AK37" s="1209">
        <f>AVERAGE(AE37:AJ37)</f>
        <v>4.8828110702689546E-2</v>
      </c>
      <c r="AM37" s="1450"/>
    </row>
    <row r="38" spans="1:42">
      <c r="B38" s="1241" t="s">
        <v>841</v>
      </c>
      <c r="C38" s="1229">
        <f>SUM(C28:C37)</f>
        <v>789062</v>
      </c>
      <c r="D38" s="1199">
        <f>SUM(D28:D37)</f>
        <v>428315</v>
      </c>
      <c r="E38" s="1199">
        <f t="shared" ref="E38:F38" si="38">SUM(E28:E37)</f>
        <v>-64401</v>
      </c>
      <c r="F38" s="1199">
        <f t="shared" si="38"/>
        <v>0</v>
      </c>
      <c r="G38" s="1200">
        <f>SUM(C38:F38)</f>
        <v>1152976</v>
      </c>
      <c r="H38" s="1199">
        <f t="shared" ref="H38:K38" si="39">SUM(H28:H37)</f>
        <v>98798</v>
      </c>
      <c r="I38" s="1199">
        <f t="shared" si="39"/>
        <v>-37131</v>
      </c>
      <c r="J38" s="1199">
        <f t="shared" si="39"/>
        <v>61667</v>
      </c>
      <c r="K38" s="1199">
        <f t="shared" si="39"/>
        <v>0</v>
      </c>
      <c r="L38" s="1229">
        <f t="shared" si="21"/>
        <v>1091309</v>
      </c>
      <c r="M38" s="1243"/>
      <c r="N38" s="1203"/>
      <c r="O38" s="1203"/>
      <c r="P38" s="1203"/>
      <c r="Q38" s="1203"/>
      <c r="R38" s="1031"/>
      <c r="S38" s="290"/>
      <c r="T38" s="307" t="s">
        <v>970</v>
      </c>
      <c r="U38" s="143"/>
      <c r="V38" s="1227">
        <f t="shared" si="34"/>
        <v>4.2047186567070176E-2</v>
      </c>
      <c r="W38" s="1227">
        <f t="shared" si="34"/>
        <v>2.6753762562877391E-2</v>
      </c>
      <c r="X38" s="1227">
        <f t="shared" si="34"/>
        <v>4.3110222768894355E-2</v>
      </c>
      <c r="Y38" s="1227">
        <f t="shared" si="34"/>
        <v>5.3360586750030053E-2</v>
      </c>
      <c r="Z38" s="1227">
        <f t="shared" si="34"/>
        <v>4.6372769852336515E-2</v>
      </c>
      <c r="AA38" s="1228">
        <f t="shared" si="34"/>
        <v>7.2020860943827508E-2</v>
      </c>
      <c r="AF38" s="1238">
        <f>AF36-AE36</f>
        <v>123733.16804545169</v>
      </c>
      <c r="AG38" s="1238">
        <f>AG36-AF36</f>
        <v>101646.47785109602</v>
      </c>
      <c r="AH38" s="1238">
        <f t="shared" ref="AH38:AJ38" si="40">AH36-AG36</f>
        <v>69623.488698925357</v>
      </c>
      <c r="AI38" s="1238">
        <f t="shared" si="40"/>
        <v>119719.00732532376</v>
      </c>
      <c r="AJ38" s="1238">
        <f t="shared" si="40"/>
        <v>-71652.310242352309</v>
      </c>
      <c r="AK38" s="1238">
        <f>AVERAGE(AF38:AJ38)</f>
        <v>68613.966335688907</v>
      </c>
    </row>
    <row r="39" spans="1:42">
      <c r="C39" s="234"/>
      <c r="D39" s="234"/>
      <c r="E39" s="234"/>
      <c r="F39" s="234"/>
      <c r="G39" s="234"/>
      <c r="H39" s="947">
        <f>SUM(C38:E38)</f>
        <v>1152976</v>
      </c>
      <c r="I39" s="311">
        <f>J38/H39</f>
        <v>5.3485068206103166E-2</v>
      </c>
      <c r="J39" s="234"/>
      <c r="K39" s="234"/>
      <c r="L39" s="234"/>
      <c r="M39" s="234"/>
      <c r="N39" s="234"/>
      <c r="O39" s="234"/>
      <c r="P39" s="234"/>
      <c r="Q39" s="234"/>
      <c r="R39" s="234"/>
      <c r="S39" s="290"/>
      <c r="X39" s="234"/>
      <c r="Y39" s="234"/>
      <c r="Z39" s="234"/>
      <c r="AA39" s="234"/>
      <c r="AF39" s="75"/>
      <c r="AG39" s="75"/>
      <c r="AH39" s="75"/>
      <c r="AI39" s="75"/>
      <c r="AJ39" s="75"/>
      <c r="AK39" s="75"/>
    </row>
    <row r="40" spans="1:42" ht="38.25">
      <c r="B40" s="1236">
        <v>2012</v>
      </c>
      <c r="C40" s="1237">
        <v>2011</v>
      </c>
      <c r="D40" s="888" t="s">
        <v>979</v>
      </c>
      <c r="E40" s="889" t="s">
        <v>950</v>
      </c>
      <c r="F40" s="889" t="s">
        <v>962</v>
      </c>
      <c r="G40" s="895" t="s">
        <v>841</v>
      </c>
      <c r="H40" s="890" t="s">
        <v>963</v>
      </c>
      <c r="I40" s="891" t="s">
        <v>964</v>
      </c>
      <c r="J40" s="896" t="s">
        <v>841</v>
      </c>
      <c r="K40" s="892" t="s">
        <v>958</v>
      </c>
      <c r="L40" s="893" t="s">
        <v>980</v>
      </c>
      <c r="M40" s="1831" t="s">
        <v>960</v>
      </c>
      <c r="N40" s="1832"/>
      <c r="O40" s="1832"/>
      <c r="P40" s="1832"/>
      <c r="Q40" s="1832"/>
      <c r="R40" s="1833"/>
      <c r="S40" s="290"/>
      <c r="AF40" s="75"/>
      <c r="AG40" s="75"/>
      <c r="AH40" s="75"/>
      <c r="AI40" s="75"/>
      <c r="AJ40" s="75"/>
      <c r="AK40" s="1444"/>
    </row>
    <row r="41" spans="1:42">
      <c r="B41" s="1212" t="s">
        <v>966</v>
      </c>
      <c r="C41" s="1213">
        <f>L28</f>
        <v>150948</v>
      </c>
      <c r="D41" s="138">
        <f>45759</f>
        <v>45759</v>
      </c>
      <c r="E41" s="138">
        <v>0</v>
      </c>
      <c r="F41" s="138"/>
      <c r="G41" s="138">
        <f>SUM(C41:F41)</f>
        <v>196707</v>
      </c>
      <c r="H41" s="213">
        <v>0</v>
      </c>
      <c r="I41" s="138">
        <v>0</v>
      </c>
      <c r="J41" s="138">
        <f t="shared" ref="J41:J50" si="41">SUM(H41:I41)</f>
        <v>0</v>
      </c>
      <c r="K41" s="1239">
        <v>-809</v>
      </c>
      <c r="L41" s="1213">
        <f>G41-J41+K41</f>
        <v>195898</v>
      </c>
      <c r="M41" s="1825" t="s">
        <v>981</v>
      </c>
      <c r="N41" s="1826"/>
      <c r="O41" s="1826"/>
      <c r="P41" s="1826"/>
      <c r="Q41" s="1826"/>
      <c r="R41" s="1827"/>
      <c r="S41" s="290"/>
      <c r="AB41" s="208"/>
      <c r="AE41" s="75">
        <f>AE31/AE30</f>
        <v>-0.10436418176164666</v>
      </c>
      <c r="AF41" s="75">
        <f>AF31/AF30</f>
        <v>-8.1617160628695853E-2</v>
      </c>
      <c r="AG41" s="75">
        <f>AG31/AG30</f>
        <v>-4.604195511995228E-2</v>
      </c>
      <c r="AH41" s="75">
        <f t="shared" ref="AH41" si="42">AH31/AH30</f>
        <v>-5.4388896287509716E-2</v>
      </c>
      <c r="AI41" s="75">
        <f>AI31/AI30</f>
        <v>-7.474045778297507E-2</v>
      </c>
      <c r="AJ41" s="75">
        <f>AJ31/AJ30</f>
        <v>-3.4087767587773599E-2</v>
      </c>
      <c r="AK41" s="267">
        <f>AVERAGE(AE41:AJ41)</f>
        <v>-6.5873403194758859E-2</v>
      </c>
    </row>
    <row r="42" spans="1:42">
      <c r="B42" s="1212" t="s">
        <v>938</v>
      </c>
      <c r="C42" s="1213">
        <f t="shared" ref="C42:C50" si="43">L29</f>
        <v>92981</v>
      </c>
      <c r="D42" s="138">
        <f>98631</f>
        <v>98631</v>
      </c>
      <c r="E42" s="138">
        <v>0</v>
      </c>
      <c r="F42" s="138">
        <f>94769</f>
        <v>94769</v>
      </c>
      <c r="G42" s="138">
        <f t="shared" ref="G42:G50" si="44">SUM(C42:F42)</f>
        <v>286381</v>
      </c>
      <c r="H42" s="213">
        <f>6094</f>
        <v>6094</v>
      </c>
      <c r="I42" s="138">
        <v>0</v>
      </c>
      <c r="J42" s="138">
        <f t="shared" si="41"/>
        <v>6094</v>
      </c>
      <c r="K42" s="1239">
        <f>-2569-1500+1005</f>
        <v>-3064</v>
      </c>
      <c r="L42" s="1213">
        <f t="shared" ref="L42:L51" si="45">G42-J42+K42</f>
        <v>277223</v>
      </c>
      <c r="M42" s="1825"/>
      <c r="N42" s="1826"/>
      <c r="O42" s="1826"/>
      <c r="P42" s="1826"/>
      <c r="Q42" s="1826"/>
      <c r="R42" s="1827"/>
      <c r="S42" s="290"/>
      <c r="T42" s="208"/>
      <c r="U42" s="208"/>
      <c r="V42" s="208"/>
      <c r="W42" s="208"/>
      <c r="X42" s="208"/>
      <c r="Y42" s="208"/>
      <c r="Z42" s="208"/>
      <c r="AA42" s="208"/>
      <c r="AF42" s="75"/>
      <c r="AG42" s="75"/>
      <c r="AH42" s="75"/>
      <c r="AI42" s="75"/>
      <c r="AJ42" s="75"/>
    </row>
    <row r="43" spans="1:42">
      <c r="B43" s="1212" t="s">
        <v>941</v>
      </c>
      <c r="C43" s="1213">
        <f t="shared" si="43"/>
        <v>263746</v>
      </c>
      <c r="D43" s="138">
        <v>3344</v>
      </c>
      <c r="E43" s="138">
        <v>-1629</v>
      </c>
      <c r="F43" s="138">
        <v>219913</v>
      </c>
      <c r="G43" s="138">
        <f t="shared" si="44"/>
        <v>485374</v>
      </c>
      <c r="H43" s="213">
        <v>30807</v>
      </c>
      <c r="I43" s="138">
        <v>-1324</v>
      </c>
      <c r="J43" s="138">
        <f t="shared" si="41"/>
        <v>29483</v>
      </c>
      <c r="K43" s="1239"/>
      <c r="L43" s="1213">
        <f t="shared" si="45"/>
        <v>455891</v>
      </c>
      <c r="M43" s="1825"/>
      <c r="N43" s="1826"/>
      <c r="O43" s="1826"/>
      <c r="P43" s="1826"/>
      <c r="Q43" s="1826"/>
      <c r="R43" s="1827"/>
      <c r="S43" s="1215"/>
    </row>
    <row r="44" spans="1:42">
      <c r="B44" s="1212" t="s">
        <v>945</v>
      </c>
      <c r="C44" s="1213">
        <f t="shared" si="43"/>
        <v>10166</v>
      </c>
      <c r="D44" s="138">
        <v>184</v>
      </c>
      <c r="E44" s="138">
        <v>-114</v>
      </c>
      <c r="F44" s="138">
        <v>699</v>
      </c>
      <c r="G44" s="138">
        <f t="shared" si="44"/>
        <v>10935</v>
      </c>
      <c r="H44" s="213">
        <v>1467</v>
      </c>
      <c r="I44" s="138">
        <v>-103</v>
      </c>
      <c r="J44" s="138">
        <f t="shared" si="41"/>
        <v>1364</v>
      </c>
      <c r="K44" s="1239"/>
      <c r="L44" s="1213">
        <f t="shared" si="45"/>
        <v>9571</v>
      </c>
      <c r="M44" s="1825"/>
      <c r="N44" s="1826"/>
      <c r="O44" s="1826"/>
      <c r="P44" s="1826"/>
      <c r="Q44" s="1826"/>
      <c r="R44" s="1827"/>
      <c r="S44" s="879"/>
    </row>
    <row r="45" spans="1:42" ht="15" customHeight="1">
      <c r="B45" s="1212" t="s">
        <v>948</v>
      </c>
      <c r="C45" s="1213">
        <f t="shared" si="43"/>
        <v>12532</v>
      </c>
      <c r="D45" s="138">
        <v>2049</v>
      </c>
      <c r="E45" s="138">
        <v>-898</v>
      </c>
      <c r="F45" s="138">
        <v>2067</v>
      </c>
      <c r="G45" s="138">
        <f t="shared" si="44"/>
        <v>15750</v>
      </c>
      <c r="H45" s="213">
        <v>1777</v>
      </c>
      <c r="I45" s="138">
        <v>-347</v>
      </c>
      <c r="J45" s="138">
        <f t="shared" si="41"/>
        <v>1430</v>
      </c>
      <c r="K45" s="1239"/>
      <c r="L45" s="1213">
        <f t="shared" si="45"/>
        <v>14320</v>
      </c>
      <c r="M45" s="1828"/>
      <c r="N45" s="1829"/>
      <c r="O45" s="1829"/>
      <c r="P45" s="1829"/>
      <c r="Q45" s="1829"/>
      <c r="R45" s="1830"/>
      <c r="S45" s="290"/>
    </row>
    <row r="46" spans="1:42">
      <c r="B46" s="1212" t="s">
        <v>951</v>
      </c>
      <c r="C46" s="1213">
        <f t="shared" si="43"/>
        <v>96861</v>
      </c>
      <c r="D46" s="138">
        <v>9484</v>
      </c>
      <c r="E46" s="138">
        <v>-34160</v>
      </c>
      <c r="F46" s="138">
        <v>40163</v>
      </c>
      <c r="G46" s="138">
        <f t="shared" si="44"/>
        <v>112348</v>
      </c>
      <c r="H46" s="213">
        <v>35458</v>
      </c>
      <c r="I46" s="138">
        <v>-26939</v>
      </c>
      <c r="J46" s="138">
        <f t="shared" si="41"/>
        <v>8519</v>
      </c>
      <c r="K46" s="1239"/>
      <c r="L46" s="1213">
        <f t="shared" si="45"/>
        <v>103829</v>
      </c>
      <c r="M46" s="1825" t="s">
        <v>982</v>
      </c>
      <c r="N46" s="1826"/>
      <c r="O46" s="1826"/>
      <c r="P46" s="1826"/>
      <c r="Q46" s="1826"/>
      <c r="R46" s="1827"/>
      <c r="S46" s="290"/>
    </row>
    <row r="47" spans="1:42">
      <c r="B47" s="1212" t="s">
        <v>954</v>
      </c>
      <c r="C47" s="1213">
        <f t="shared" si="43"/>
        <v>128328</v>
      </c>
      <c r="D47" s="138">
        <v>849</v>
      </c>
      <c r="E47" s="138">
        <v>-12565</v>
      </c>
      <c r="F47" s="138">
        <v>49218</v>
      </c>
      <c r="G47" s="138">
        <f t="shared" si="44"/>
        <v>165830</v>
      </c>
      <c r="H47" s="213">
        <v>40940</v>
      </c>
      <c r="I47" s="138">
        <v>-9650</v>
      </c>
      <c r="J47" s="138">
        <f t="shared" si="41"/>
        <v>31290</v>
      </c>
      <c r="K47" s="1239"/>
      <c r="L47" s="1213">
        <f t="shared" si="45"/>
        <v>134540</v>
      </c>
      <c r="M47" s="1825"/>
      <c r="N47" s="1826"/>
      <c r="O47" s="1826"/>
      <c r="P47" s="1826"/>
      <c r="Q47" s="1826"/>
      <c r="R47" s="1827"/>
      <c r="S47" s="290"/>
      <c r="V47" s="311"/>
      <c r="W47" s="311"/>
      <c r="X47" s="311"/>
      <c r="Y47" s="311"/>
      <c r="Z47" s="311"/>
      <c r="AA47" s="311"/>
    </row>
    <row r="48" spans="1:42">
      <c r="B48" s="1212" t="s">
        <v>974</v>
      </c>
      <c r="C48" s="1213">
        <f t="shared" si="43"/>
        <v>0</v>
      </c>
      <c r="D48" s="138">
        <v>0</v>
      </c>
      <c r="E48" s="138">
        <v>0</v>
      </c>
      <c r="F48" s="138">
        <v>0</v>
      </c>
      <c r="G48" s="138">
        <f t="shared" si="44"/>
        <v>0</v>
      </c>
      <c r="H48" s="213">
        <v>0</v>
      </c>
      <c r="I48" s="138">
        <v>0</v>
      </c>
      <c r="J48" s="138">
        <f t="shared" si="41"/>
        <v>0</v>
      </c>
      <c r="K48" s="1239"/>
      <c r="L48" s="1213">
        <f t="shared" si="45"/>
        <v>0</v>
      </c>
      <c r="M48" s="1825"/>
      <c r="N48" s="1826"/>
      <c r="O48" s="1826"/>
      <c r="P48" s="1826"/>
      <c r="Q48" s="1826"/>
      <c r="R48" s="1827"/>
      <c r="S48" s="290"/>
      <c r="V48" s="311"/>
      <c r="W48" s="311"/>
      <c r="X48" s="311"/>
      <c r="Y48" s="311"/>
      <c r="Z48" s="311"/>
      <c r="AA48" s="311"/>
    </row>
    <row r="49" spans="2:27">
      <c r="B49" s="1212" t="s">
        <v>975</v>
      </c>
      <c r="C49" s="1213">
        <f t="shared" si="43"/>
        <v>158329</v>
      </c>
      <c r="D49" s="138">
        <v>92453</v>
      </c>
      <c r="E49" s="138">
        <v>-880</v>
      </c>
      <c r="F49" s="138">
        <v>-229378</v>
      </c>
      <c r="G49" s="138">
        <f t="shared" si="44"/>
        <v>20524</v>
      </c>
      <c r="H49" s="213">
        <v>0</v>
      </c>
      <c r="I49" s="138">
        <v>0</v>
      </c>
      <c r="J49" s="138">
        <f t="shared" si="41"/>
        <v>0</v>
      </c>
      <c r="K49" s="1239"/>
      <c r="L49" s="1213">
        <f t="shared" si="45"/>
        <v>20524</v>
      </c>
      <c r="M49" s="1825"/>
      <c r="N49" s="1826"/>
      <c r="O49" s="1826"/>
      <c r="P49" s="1826"/>
      <c r="Q49" s="1826"/>
      <c r="R49" s="1827"/>
      <c r="S49" s="290"/>
      <c r="V49" s="1238"/>
      <c r="W49" s="1238"/>
      <c r="X49" s="1238"/>
      <c r="Y49" s="1238"/>
      <c r="Z49" s="1238"/>
      <c r="AA49" s="1238"/>
    </row>
    <row r="50" spans="2:27">
      <c r="B50" s="1241" t="s">
        <v>976</v>
      </c>
      <c r="C50" s="1213">
        <f t="shared" si="43"/>
        <v>177418</v>
      </c>
      <c r="D50" s="138">
        <v>79769</v>
      </c>
      <c r="E50" s="138">
        <v>0</v>
      </c>
      <c r="F50" s="138">
        <v>-177451</v>
      </c>
      <c r="G50" s="138">
        <f t="shared" si="44"/>
        <v>79736</v>
      </c>
      <c r="H50" s="213">
        <v>0</v>
      </c>
      <c r="I50" s="138">
        <v>0</v>
      </c>
      <c r="J50" s="138">
        <f t="shared" si="41"/>
        <v>0</v>
      </c>
      <c r="K50" s="1242"/>
      <c r="L50" s="1229">
        <f t="shared" si="45"/>
        <v>79736</v>
      </c>
      <c r="M50" s="1825"/>
      <c r="N50" s="1826"/>
      <c r="O50" s="1826"/>
      <c r="P50" s="1826"/>
      <c r="Q50" s="1826"/>
      <c r="R50" s="1827"/>
      <c r="S50" s="290"/>
    </row>
    <row r="51" spans="2:27">
      <c r="B51" s="1241" t="s">
        <v>841</v>
      </c>
      <c r="C51" s="1244">
        <f>SUM(C41:C50)</f>
        <v>1091309</v>
      </c>
      <c r="D51" s="1205">
        <f t="shared" ref="D51:F51" si="46">SUM(D41:D50)</f>
        <v>332522</v>
      </c>
      <c r="E51" s="1205">
        <f t="shared" si="46"/>
        <v>-50246</v>
      </c>
      <c r="F51" s="1205">
        <f t="shared" si="46"/>
        <v>0</v>
      </c>
      <c r="G51" s="1205">
        <f>SUM(G41:G50)</f>
        <v>1373585</v>
      </c>
      <c r="H51" s="1245">
        <f t="shared" ref="H51:K51" si="47">SUM(H41:H50)</f>
        <v>116543</v>
      </c>
      <c r="I51" s="1205">
        <f t="shared" si="47"/>
        <v>-38363</v>
      </c>
      <c r="J51" s="1205">
        <f t="shared" si="47"/>
        <v>78180</v>
      </c>
      <c r="K51" s="1205">
        <f t="shared" si="47"/>
        <v>-3873</v>
      </c>
      <c r="L51" s="1229">
        <f t="shared" si="45"/>
        <v>1291532</v>
      </c>
      <c r="M51" s="1243"/>
      <c r="N51" s="1203"/>
      <c r="O51" s="1203"/>
      <c r="P51" s="1203"/>
      <c r="Q51" s="1203"/>
      <c r="R51" s="1031"/>
      <c r="S51" s="290"/>
      <c r="V51" s="75"/>
    </row>
    <row r="52" spans="2:27">
      <c r="C52" s="234"/>
      <c r="D52" s="234"/>
      <c r="E52" s="234"/>
      <c r="F52" s="234"/>
      <c r="G52" s="234"/>
      <c r="H52" s="947">
        <f>SUM(C51:E51)</f>
        <v>1373585</v>
      </c>
      <c r="I52" s="311">
        <f>J51/H52</f>
        <v>5.6916754332640498E-2</v>
      </c>
      <c r="J52" s="234"/>
      <c r="K52" s="234"/>
      <c r="L52" s="234"/>
      <c r="M52" s="234"/>
      <c r="N52" s="234"/>
      <c r="O52" s="234"/>
      <c r="P52" s="234"/>
      <c r="Q52" s="234"/>
      <c r="R52" s="234"/>
      <c r="S52" s="290"/>
      <c r="T52" s="208"/>
      <c r="U52" s="208"/>
      <c r="V52" s="208"/>
      <c r="W52" s="208"/>
      <c r="X52" s="208"/>
      <c r="Y52" s="208"/>
      <c r="Z52" s="208"/>
      <c r="AA52" s="208"/>
    </row>
    <row r="53" spans="2:27" ht="38.25">
      <c r="B53" s="1236">
        <v>2013</v>
      </c>
      <c r="C53" s="1237">
        <v>2012</v>
      </c>
      <c r="D53" s="888" t="s">
        <v>961</v>
      </c>
      <c r="E53" s="889" t="s">
        <v>950</v>
      </c>
      <c r="F53" s="889" t="s">
        <v>962</v>
      </c>
      <c r="G53" s="895" t="s">
        <v>841</v>
      </c>
      <c r="H53" s="890" t="s">
        <v>963</v>
      </c>
      <c r="I53" s="891" t="s">
        <v>964</v>
      </c>
      <c r="J53" s="896" t="s">
        <v>841</v>
      </c>
      <c r="K53" s="892" t="s">
        <v>958</v>
      </c>
      <c r="L53" s="893" t="s">
        <v>983</v>
      </c>
      <c r="M53" s="1831" t="s">
        <v>960</v>
      </c>
      <c r="N53" s="1832"/>
      <c r="O53" s="1832"/>
      <c r="P53" s="1832"/>
      <c r="Q53" s="1832"/>
      <c r="R53" s="1833"/>
      <c r="S53" s="290"/>
      <c r="T53" s="1246"/>
    </row>
    <row r="54" spans="2:27">
      <c r="B54" s="1212" t="s">
        <v>966</v>
      </c>
      <c r="C54" s="1213">
        <f>L41</f>
        <v>195898</v>
      </c>
      <c r="D54" s="138">
        <v>1371</v>
      </c>
      <c r="E54" s="138">
        <v>-14013</v>
      </c>
      <c r="F54" s="138">
        <f>303</f>
        <v>303</v>
      </c>
      <c r="G54" s="138">
        <f t="shared" ref="G54:G63" si="48">SUM(C54:F54)</f>
        <v>183559</v>
      </c>
      <c r="H54" s="213">
        <v>0</v>
      </c>
      <c r="I54" s="138">
        <v>0</v>
      </c>
      <c r="J54" s="138">
        <f t="shared" ref="J54:J63" si="49">SUM(H54:I54)</f>
        <v>0</v>
      </c>
      <c r="K54" s="1239">
        <v>-9343</v>
      </c>
      <c r="L54" s="1213">
        <f>G54-J54+K54</f>
        <v>174216</v>
      </c>
      <c r="M54" s="1834" t="s">
        <v>984</v>
      </c>
      <c r="N54" s="1835"/>
      <c r="O54" s="1835"/>
      <c r="P54" s="1835"/>
      <c r="Q54" s="1835"/>
      <c r="R54" s="1836"/>
      <c r="S54" s="290"/>
    </row>
    <row r="55" spans="2:27">
      <c r="B55" s="1212" t="s">
        <v>938</v>
      </c>
      <c r="C55" s="1213">
        <f t="shared" ref="C55:C60" si="50">L42</f>
        <v>277223</v>
      </c>
      <c r="D55" s="138">
        <f>5245</f>
        <v>5245</v>
      </c>
      <c r="E55" s="138">
        <v>-26947</v>
      </c>
      <c r="F55" s="138">
        <f>85469</f>
        <v>85469</v>
      </c>
      <c r="G55" s="138">
        <f t="shared" si="48"/>
        <v>340990</v>
      </c>
      <c r="H55" s="213">
        <f>6570</f>
        <v>6570</v>
      </c>
      <c r="I55" s="138">
        <v>-9651</v>
      </c>
      <c r="J55" s="138">
        <f t="shared" si="49"/>
        <v>-3081</v>
      </c>
      <c r="K55" s="1239">
        <f>2792-6032</f>
        <v>-3240</v>
      </c>
      <c r="L55" s="1213">
        <f t="shared" ref="L55:L64" si="51">G55-J55+K55</f>
        <v>340831</v>
      </c>
      <c r="M55" s="1816"/>
      <c r="N55" s="1817"/>
      <c r="O55" s="1817"/>
      <c r="P55" s="1817"/>
      <c r="Q55" s="1817"/>
      <c r="R55" s="1818"/>
      <c r="S55" s="290"/>
    </row>
    <row r="56" spans="2:27">
      <c r="B56" s="1212" t="s">
        <v>941</v>
      </c>
      <c r="C56" s="1213">
        <f t="shared" si="50"/>
        <v>455891</v>
      </c>
      <c r="D56" s="138">
        <f>14502</f>
        <v>14502</v>
      </c>
      <c r="E56" s="138">
        <v>-4010</v>
      </c>
      <c r="F56" s="138">
        <v>12062</v>
      </c>
      <c r="G56" s="138">
        <f t="shared" si="48"/>
        <v>478445</v>
      </c>
      <c r="H56" s="213">
        <v>35425</v>
      </c>
      <c r="I56" s="138">
        <v>-3648</v>
      </c>
      <c r="J56" s="138">
        <f t="shared" si="49"/>
        <v>31777</v>
      </c>
      <c r="K56" s="1239">
        <v>-6500</v>
      </c>
      <c r="L56" s="1213">
        <f t="shared" si="51"/>
        <v>440168</v>
      </c>
      <c r="M56" s="1819"/>
      <c r="N56" s="1820"/>
      <c r="O56" s="1820"/>
      <c r="P56" s="1820"/>
      <c r="Q56" s="1820"/>
      <c r="R56" s="1821"/>
      <c r="S56" s="1247"/>
      <c r="U56" s="1246"/>
    </row>
    <row r="57" spans="2:27">
      <c r="B57" s="1212" t="s">
        <v>945</v>
      </c>
      <c r="C57" s="1213">
        <f t="shared" si="50"/>
        <v>9571</v>
      </c>
      <c r="D57" s="138">
        <v>4456</v>
      </c>
      <c r="E57" s="138">
        <v>-27</v>
      </c>
      <c r="F57" s="138">
        <v>2105</v>
      </c>
      <c r="G57" s="138">
        <f t="shared" si="48"/>
        <v>16105</v>
      </c>
      <c r="H57" s="213">
        <v>1603</v>
      </c>
      <c r="I57" s="138">
        <v>-26</v>
      </c>
      <c r="J57" s="138">
        <f t="shared" si="49"/>
        <v>1577</v>
      </c>
      <c r="K57" s="1239"/>
      <c r="L57" s="1213">
        <f t="shared" si="51"/>
        <v>14528</v>
      </c>
      <c r="M57" s="1834" t="s">
        <v>985</v>
      </c>
      <c r="N57" s="1835"/>
      <c r="O57" s="1835"/>
      <c r="P57" s="1835"/>
      <c r="Q57" s="1835"/>
      <c r="R57" s="1836"/>
      <c r="S57" s="879"/>
      <c r="U57" s="1246"/>
      <c r="V57" s="1246"/>
    </row>
    <row r="58" spans="2:27" ht="15" customHeight="1">
      <c r="B58" s="1212" t="s">
        <v>948</v>
      </c>
      <c r="C58" s="1213">
        <f t="shared" si="50"/>
        <v>14320</v>
      </c>
      <c r="D58" s="138">
        <v>1995</v>
      </c>
      <c r="E58" s="138">
        <v>-1234</v>
      </c>
      <c r="F58" s="138">
        <v>3341</v>
      </c>
      <c r="G58" s="138">
        <f t="shared" si="48"/>
        <v>18422</v>
      </c>
      <c r="H58" s="213">
        <v>2365</v>
      </c>
      <c r="I58" s="138">
        <v>-857</v>
      </c>
      <c r="J58" s="138">
        <f t="shared" si="49"/>
        <v>1508</v>
      </c>
      <c r="K58" s="1239"/>
      <c r="L58" s="1213">
        <f t="shared" si="51"/>
        <v>16914</v>
      </c>
      <c r="M58" s="1816"/>
      <c r="N58" s="1817"/>
      <c r="O58" s="1817"/>
      <c r="P58" s="1817"/>
      <c r="Q58" s="1817"/>
      <c r="R58" s="1818"/>
      <c r="S58" s="290"/>
      <c r="U58" s="1246"/>
      <c r="V58" s="1246"/>
    </row>
    <row r="59" spans="2:27">
      <c r="B59" s="1212" t="s">
        <v>951</v>
      </c>
      <c r="C59" s="1213">
        <f t="shared" si="50"/>
        <v>103829</v>
      </c>
      <c r="D59" s="138">
        <f>15456</f>
        <v>15456</v>
      </c>
      <c r="E59" s="138">
        <v>-17863</v>
      </c>
      <c r="F59" s="138">
        <v>16180</v>
      </c>
      <c r="G59" s="138">
        <f>SUM(C59:F59)</f>
        <v>117602</v>
      </c>
      <c r="H59" s="213">
        <v>34239</v>
      </c>
      <c r="I59" s="138">
        <v>-11596</v>
      </c>
      <c r="J59" s="138">
        <f t="shared" si="49"/>
        <v>22643</v>
      </c>
      <c r="K59" s="1239">
        <v>-6000</v>
      </c>
      <c r="L59" s="1213">
        <f t="shared" si="51"/>
        <v>88959</v>
      </c>
      <c r="M59" s="1819"/>
      <c r="N59" s="1820"/>
      <c r="O59" s="1820"/>
      <c r="P59" s="1820"/>
      <c r="Q59" s="1820"/>
      <c r="R59" s="1821"/>
      <c r="S59" s="290"/>
      <c r="U59" s="1246"/>
      <c r="V59" s="1246"/>
      <c r="X59" s="1246"/>
      <c r="Y59" s="1246"/>
      <c r="Z59" s="1246"/>
      <c r="AA59" s="1246"/>
    </row>
    <row r="60" spans="2:27">
      <c r="B60" s="1212" t="s">
        <v>954</v>
      </c>
      <c r="C60" s="1213">
        <f t="shared" si="50"/>
        <v>134540</v>
      </c>
      <c r="D60" s="138">
        <v>37453</v>
      </c>
      <c r="E60" s="138">
        <v>-6151</v>
      </c>
      <c r="F60" s="138">
        <v>32876</v>
      </c>
      <c r="G60" s="138">
        <f t="shared" si="48"/>
        <v>198718</v>
      </c>
      <c r="H60" s="213">
        <v>43958</v>
      </c>
      <c r="I60" s="138">
        <v>-4898</v>
      </c>
      <c r="J60" s="138">
        <f t="shared" si="49"/>
        <v>39060</v>
      </c>
      <c r="K60" s="1239"/>
      <c r="L60" s="1213">
        <f t="shared" si="51"/>
        <v>159658</v>
      </c>
      <c r="M60" s="1230"/>
      <c r="N60" s="1219"/>
      <c r="O60" s="1219"/>
      <c r="P60" s="1219"/>
      <c r="Q60" s="1219"/>
      <c r="R60" s="1220"/>
      <c r="S60" s="290"/>
      <c r="T60" s="1246"/>
      <c r="U60" s="1246"/>
      <c r="V60" s="1246"/>
      <c r="Y60" s="1246"/>
      <c r="Z60" s="1246"/>
      <c r="AA60" s="1246"/>
    </row>
    <row r="61" spans="2:27">
      <c r="B61" s="1212" t="s">
        <v>974</v>
      </c>
      <c r="C61" s="1213">
        <f>L48</f>
        <v>0</v>
      </c>
      <c r="D61" s="138"/>
      <c r="E61" s="138"/>
      <c r="F61" s="138"/>
      <c r="G61" s="138"/>
      <c r="H61" s="213"/>
      <c r="I61" s="138"/>
      <c r="J61" s="138"/>
      <c r="K61" s="1239"/>
      <c r="L61" s="1213">
        <f t="shared" si="51"/>
        <v>0</v>
      </c>
      <c r="M61" s="1230"/>
      <c r="N61" s="1219"/>
      <c r="O61" s="1219"/>
      <c r="P61" s="1219"/>
      <c r="Q61" s="1219"/>
      <c r="R61" s="1220"/>
      <c r="S61" s="290"/>
      <c r="T61" s="1246"/>
      <c r="U61" s="1246"/>
      <c r="V61" s="1246"/>
      <c r="X61" s="1246"/>
      <c r="Y61" s="1246"/>
    </row>
    <row r="62" spans="2:27" ht="15" customHeight="1">
      <c r="B62" s="1212" t="s">
        <v>975</v>
      </c>
      <c r="C62" s="1213">
        <f>L49</f>
        <v>20524</v>
      </c>
      <c r="D62" s="138">
        <v>360908</v>
      </c>
      <c r="E62" s="138">
        <v>0</v>
      </c>
      <c r="F62" s="138">
        <v>-26385</v>
      </c>
      <c r="G62" s="138">
        <f t="shared" si="48"/>
        <v>355047</v>
      </c>
      <c r="H62" s="213">
        <v>0</v>
      </c>
      <c r="I62" s="138">
        <v>0</v>
      </c>
      <c r="J62" s="138">
        <f t="shared" si="49"/>
        <v>0</v>
      </c>
      <c r="K62" s="1239"/>
      <c r="L62" s="1213">
        <f t="shared" si="51"/>
        <v>355047</v>
      </c>
      <c r="M62" s="1230"/>
      <c r="N62" s="1219"/>
      <c r="O62" s="1219"/>
      <c r="P62" s="1219"/>
      <c r="Q62" s="1219"/>
      <c r="R62" s="1220"/>
      <c r="S62" s="290"/>
      <c r="U62" s="1246"/>
      <c r="V62" s="1246"/>
    </row>
    <row r="63" spans="2:27">
      <c r="B63" s="1241" t="s">
        <v>976</v>
      </c>
      <c r="C63" s="1213">
        <f>L50</f>
        <v>79736</v>
      </c>
      <c r="D63" s="138">
        <v>60018</v>
      </c>
      <c r="E63" s="138">
        <v>0</v>
      </c>
      <c r="F63" s="138">
        <v>-119836</v>
      </c>
      <c r="G63" s="138">
        <f t="shared" si="48"/>
        <v>19918</v>
      </c>
      <c r="H63" s="213">
        <v>0</v>
      </c>
      <c r="I63" s="138">
        <v>0</v>
      </c>
      <c r="J63" s="138">
        <f t="shared" si="49"/>
        <v>0</v>
      </c>
      <c r="K63" s="1242"/>
      <c r="L63" s="1229">
        <f t="shared" si="51"/>
        <v>19918</v>
      </c>
      <c r="M63" s="1230"/>
      <c r="N63" s="1219"/>
      <c r="O63" s="1219"/>
      <c r="P63" s="1219"/>
      <c r="Q63" s="1219"/>
      <c r="R63" s="1220"/>
      <c r="S63" s="290"/>
      <c r="U63" s="1246"/>
    </row>
    <row r="64" spans="2:27">
      <c r="B64" s="1241" t="s">
        <v>841</v>
      </c>
      <c r="C64" s="1244">
        <f>SUM(C54:C63)</f>
        <v>1291532</v>
      </c>
      <c r="D64" s="1205">
        <f>SUM(D54:D63)</f>
        <v>501404</v>
      </c>
      <c r="E64" s="1205">
        <f t="shared" ref="E64:G64" si="52">SUM(E54:E63)</f>
        <v>-70245</v>
      </c>
      <c r="F64" s="1205">
        <f t="shared" si="52"/>
        <v>6115</v>
      </c>
      <c r="G64" s="1205">
        <f t="shared" si="52"/>
        <v>1728806</v>
      </c>
      <c r="H64" s="1245">
        <f>SUM(H54:H63)</f>
        <v>124160</v>
      </c>
      <c r="I64" s="1205">
        <f t="shared" ref="I64:K64" si="53">SUM(I54:I63)</f>
        <v>-30676</v>
      </c>
      <c r="J64" s="1205">
        <f t="shared" si="53"/>
        <v>93484</v>
      </c>
      <c r="K64" s="1205">
        <f t="shared" si="53"/>
        <v>-25083</v>
      </c>
      <c r="L64" s="1229">
        <f t="shared" si="51"/>
        <v>1610239</v>
      </c>
      <c r="M64" s="1243"/>
      <c r="N64" s="1203"/>
      <c r="O64" s="1203"/>
      <c r="P64" s="1203"/>
      <c r="Q64" s="1203"/>
      <c r="R64" s="1031"/>
      <c r="S64" s="290"/>
      <c r="U64" s="1246"/>
    </row>
    <row r="65" spans="2:22">
      <c r="D65" s="1246"/>
      <c r="E65" s="1246"/>
      <c r="F65" s="1246"/>
      <c r="G65" s="1246"/>
      <c r="H65" s="947">
        <f>SUM(C64:E64)</f>
        <v>1722691</v>
      </c>
      <c r="I65" s="311">
        <f>J64/H65</f>
        <v>5.4266261331834903E-2</v>
      </c>
      <c r="J65" s="1246"/>
      <c r="K65" s="1246"/>
      <c r="L65" s="1246"/>
      <c r="M65" s="1246"/>
      <c r="N65" s="1246"/>
      <c r="O65" s="1246"/>
      <c r="P65" s="1246"/>
      <c r="Q65" s="1246"/>
      <c r="R65" s="1246"/>
      <c r="S65" s="290"/>
      <c r="U65" s="1246"/>
    </row>
    <row r="66" spans="2:22" ht="38.25">
      <c r="B66" s="1236">
        <v>2014</v>
      </c>
      <c r="C66" s="1237">
        <v>2013</v>
      </c>
      <c r="D66" s="888" t="s">
        <v>979</v>
      </c>
      <c r="E66" s="889" t="s">
        <v>950</v>
      </c>
      <c r="F66" s="889" t="s">
        <v>962</v>
      </c>
      <c r="G66" s="895" t="s">
        <v>841</v>
      </c>
      <c r="H66" s="890" t="s">
        <v>963</v>
      </c>
      <c r="I66" s="891" t="s">
        <v>964</v>
      </c>
      <c r="J66" s="896" t="s">
        <v>841</v>
      </c>
      <c r="K66" s="892" t="s">
        <v>958</v>
      </c>
      <c r="L66" s="893" t="s">
        <v>986</v>
      </c>
      <c r="M66" s="1831" t="s">
        <v>960</v>
      </c>
      <c r="N66" s="1832"/>
      <c r="O66" s="1832"/>
      <c r="P66" s="1832"/>
      <c r="Q66" s="1832"/>
      <c r="R66" s="1833"/>
      <c r="S66" s="290"/>
      <c r="U66" s="1246"/>
      <c r="V66" s="1246"/>
    </row>
    <row r="67" spans="2:22">
      <c r="B67" s="1212" t="s">
        <v>966</v>
      </c>
      <c r="C67" s="1213">
        <f>L54</f>
        <v>174216</v>
      </c>
      <c r="D67" s="138">
        <v>176707</v>
      </c>
      <c r="E67" s="138" t="s">
        <v>987</v>
      </c>
      <c r="F67" s="138">
        <v>16582</v>
      </c>
      <c r="G67" s="138">
        <f t="shared" ref="G67:G71" si="54">SUM(C67:F67)</f>
        <v>367505</v>
      </c>
      <c r="H67" s="213" t="s">
        <v>987</v>
      </c>
      <c r="I67" s="138" t="s">
        <v>987</v>
      </c>
      <c r="J67" s="138">
        <f t="shared" ref="J67:J76" si="55">SUM(H67:I67)</f>
        <v>0</v>
      </c>
      <c r="K67" s="1239"/>
      <c r="L67" s="1213">
        <f>G67-J67+K67</f>
        <v>367505</v>
      </c>
      <c r="M67" s="1816" t="s">
        <v>988</v>
      </c>
      <c r="N67" s="1817"/>
      <c r="O67" s="1817"/>
      <c r="P67" s="1817"/>
      <c r="Q67" s="1817"/>
      <c r="R67" s="1818"/>
      <c r="S67" s="290"/>
    </row>
    <row r="68" spans="2:22">
      <c r="B68" s="1212" t="s">
        <v>938</v>
      </c>
      <c r="C68" s="1213">
        <f>L55</f>
        <v>340831</v>
      </c>
      <c r="D68" s="138">
        <v>7474</v>
      </c>
      <c r="E68" s="138">
        <v>-84</v>
      </c>
      <c r="F68" s="138">
        <v>1473</v>
      </c>
      <c r="G68" s="138">
        <f t="shared" si="54"/>
        <v>349694</v>
      </c>
      <c r="H68" s="213">
        <v>9591</v>
      </c>
      <c r="I68" s="138">
        <v>-2090</v>
      </c>
      <c r="J68" s="138">
        <f t="shared" si="55"/>
        <v>7501</v>
      </c>
      <c r="K68" s="1239"/>
      <c r="L68" s="1213">
        <f t="shared" ref="L68:L76" si="56">G68-J68+K68</f>
        <v>342193</v>
      </c>
      <c r="M68" s="1816"/>
      <c r="N68" s="1817"/>
      <c r="O68" s="1817"/>
      <c r="P68" s="1817"/>
      <c r="Q68" s="1817"/>
      <c r="R68" s="1818"/>
      <c r="S68" s="290"/>
    </row>
    <row r="69" spans="2:22">
      <c r="B69" s="1212" t="s">
        <v>941</v>
      </c>
      <c r="C69" s="1213">
        <f t="shared" ref="C69:C73" si="57">L56</f>
        <v>440168</v>
      </c>
      <c r="D69" s="138">
        <v>18534</v>
      </c>
      <c r="E69" s="138">
        <v>-2011</v>
      </c>
      <c r="F69" s="138">
        <v>15087</v>
      </c>
      <c r="G69" s="138">
        <f t="shared" si="54"/>
        <v>471778</v>
      </c>
      <c r="H69" s="213">
        <v>38685</v>
      </c>
      <c r="I69" s="138">
        <v>-1147</v>
      </c>
      <c r="J69" s="138">
        <f t="shared" si="55"/>
        <v>37538</v>
      </c>
      <c r="K69" s="1239"/>
      <c r="L69" s="1213">
        <f t="shared" si="56"/>
        <v>434240</v>
      </c>
      <c r="M69" s="1816"/>
      <c r="N69" s="1817"/>
      <c r="O69" s="1817"/>
      <c r="P69" s="1817"/>
      <c r="Q69" s="1817"/>
      <c r="R69" s="1818"/>
    </row>
    <row r="70" spans="2:22">
      <c r="B70" s="1212" t="s">
        <v>945</v>
      </c>
      <c r="C70" s="1213">
        <f t="shared" si="57"/>
        <v>14528</v>
      </c>
      <c r="D70" s="138">
        <v>4883</v>
      </c>
      <c r="E70" s="138">
        <v>-357</v>
      </c>
      <c r="F70" s="138">
        <v>553</v>
      </c>
      <c r="G70" s="138">
        <f t="shared" si="54"/>
        <v>19607</v>
      </c>
      <c r="H70" s="213">
        <v>2482</v>
      </c>
      <c r="I70" s="138">
        <v>-340</v>
      </c>
      <c r="J70" s="138">
        <f t="shared" si="55"/>
        <v>2142</v>
      </c>
      <c r="K70" s="1239"/>
      <c r="L70" s="1213">
        <f t="shared" si="56"/>
        <v>17465</v>
      </c>
      <c r="M70" s="1819"/>
      <c r="N70" s="1820"/>
      <c r="O70" s="1820"/>
      <c r="P70" s="1820"/>
      <c r="Q70" s="1820"/>
      <c r="R70" s="1821"/>
    </row>
    <row r="71" spans="2:22">
      <c r="B71" s="1212" t="s">
        <v>948</v>
      </c>
      <c r="C71" s="1213">
        <f t="shared" si="57"/>
        <v>16914</v>
      </c>
      <c r="D71" s="138">
        <v>3941</v>
      </c>
      <c r="E71" s="138">
        <v>-829</v>
      </c>
      <c r="F71" s="138">
        <v>2813</v>
      </c>
      <c r="G71" s="138">
        <f t="shared" si="54"/>
        <v>22839</v>
      </c>
      <c r="H71" s="213">
        <v>3347</v>
      </c>
      <c r="I71" s="138">
        <v>-638</v>
      </c>
      <c r="J71" s="138">
        <f t="shared" si="55"/>
        <v>2709</v>
      </c>
      <c r="K71" s="1239"/>
      <c r="L71" s="1213">
        <f t="shared" si="56"/>
        <v>20130</v>
      </c>
      <c r="M71" s="1822" t="s">
        <v>989</v>
      </c>
      <c r="N71" s="1823"/>
      <c r="O71" s="1823"/>
      <c r="P71" s="1823"/>
      <c r="Q71" s="1823"/>
      <c r="R71" s="1824"/>
    </row>
    <row r="72" spans="2:22">
      <c r="B72" s="1212" t="s">
        <v>951</v>
      </c>
      <c r="C72" s="1213">
        <f t="shared" si="57"/>
        <v>88959</v>
      </c>
      <c r="D72" s="138">
        <v>91229</v>
      </c>
      <c r="E72" s="138">
        <v>-74777</v>
      </c>
      <c r="F72" s="138">
        <v>5759</v>
      </c>
      <c r="G72" s="138">
        <f>SUM(C72:F72)</f>
        <v>111170</v>
      </c>
      <c r="H72" s="213">
        <v>33792</v>
      </c>
      <c r="I72" s="138">
        <v>-54178</v>
      </c>
      <c r="J72" s="138">
        <f t="shared" si="55"/>
        <v>-20386</v>
      </c>
      <c r="K72" s="1239"/>
      <c r="L72" s="1213">
        <f t="shared" si="56"/>
        <v>131556</v>
      </c>
      <c r="M72" s="1816"/>
      <c r="N72" s="1817"/>
      <c r="O72" s="1817"/>
      <c r="P72" s="1817"/>
      <c r="Q72" s="1817"/>
      <c r="R72" s="1818"/>
    </row>
    <row r="73" spans="2:22">
      <c r="B73" s="1212" t="s">
        <v>954</v>
      </c>
      <c r="C73" s="1213">
        <f t="shared" si="57"/>
        <v>159658</v>
      </c>
      <c r="D73" s="138">
        <f>27647</f>
        <v>27647</v>
      </c>
      <c r="E73" s="138">
        <v>-13753</v>
      </c>
      <c r="F73" s="138">
        <v>31368</v>
      </c>
      <c r="G73" s="138">
        <f>SUM(C73:F73)</f>
        <v>204920</v>
      </c>
      <c r="H73" s="213">
        <v>51356</v>
      </c>
      <c r="I73" s="138">
        <v>-10057</v>
      </c>
      <c r="J73" s="138">
        <f t="shared" si="55"/>
        <v>41299</v>
      </c>
      <c r="K73" s="1239">
        <v>3500</v>
      </c>
      <c r="L73" s="1213">
        <f t="shared" si="56"/>
        <v>167121</v>
      </c>
      <c r="M73" s="1819"/>
      <c r="N73" s="1820"/>
      <c r="O73" s="1820"/>
      <c r="P73" s="1820"/>
      <c r="Q73" s="1820"/>
      <c r="R73" s="1821"/>
    </row>
    <row r="74" spans="2:22">
      <c r="B74" s="1212" t="s">
        <v>974</v>
      </c>
      <c r="C74" s="1213">
        <f>L61</f>
        <v>0</v>
      </c>
      <c r="D74" s="138"/>
      <c r="E74" s="138"/>
      <c r="F74" s="138"/>
      <c r="G74" s="138"/>
      <c r="H74" s="213">
        <v>0</v>
      </c>
      <c r="I74" s="138">
        <v>0</v>
      </c>
      <c r="J74" s="138">
        <f t="shared" si="55"/>
        <v>0</v>
      </c>
      <c r="K74" s="1239"/>
      <c r="L74" s="1213">
        <f t="shared" si="56"/>
        <v>0</v>
      </c>
      <c r="M74" s="1230"/>
      <c r="N74" s="1219"/>
      <c r="O74" s="1219"/>
      <c r="P74" s="1219"/>
      <c r="Q74" s="1219"/>
      <c r="R74" s="1220"/>
    </row>
    <row r="75" spans="2:22">
      <c r="B75" s="1212" t="s">
        <v>975</v>
      </c>
      <c r="C75" s="1213">
        <f>L62</f>
        <v>355047</v>
      </c>
      <c r="D75" s="138">
        <f>319921</f>
        <v>319921</v>
      </c>
      <c r="E75" s="138">
        <v>-28539</v>
      </c>
      <c r="F75" s="138">
        <v>-50388</v>
      </c>
      <c r="G75" s="138">
        <f>SUM(C75:F75)</f>
        <v>596041</v>
      </c>
      <c r="H75" s="213">
        <v>0</v>
      </c>
      <c r="I75" s="138">
        <v>0</v>
      </c>
      <c r="J75" s="138">
        <f t="shared" si="55"/>
        <v>0</v>
      </c>
      <c r="K75" s="1239">
        <v>61</v>
      </c>
      <c r="L75" s="1213">
        <f t="shared" si="56"/>
        <v>596102</v>
      </c>
      <c r="M75" s="1230"/>
      <c r="N75" s="1219"/>
      <c r="O75" s="1219"/>
      <c r="P75" s="1219"/>
      <c r="Q75" s="1219"/>
      <c r="R75" s="1220"/>
    </row>
    <row r="76" spans="2:22">
      <c r="B76" s="1241" t="s">
        <v>976</v>
      </c>
      <c r="C76" s="1213">
        <f>L63</f>
        <v>19918</v>
      </c>
      <c r="D76" s="138">
        <v>8035</v>
      </c>
      <c r="E76" s="138" t="s">
        <v>987</v>
      </c>
      <c r="F76" s="138">
        <v>-24340</v>
      </c>
      <c r="G76" s="138">
        <f>SUM(C76:F76)</f>
        <v>3613</v>
      </c>
      <c r="H76" s="213">
        <v>0</v>
      </c>
      <c r="I76" s="138">
        <v>0</v>
      </c>
      <c r="J76" s="138">
        <f t="shared" si="55"/>
        <v>0</v>
      </c>
      <c r="K76" s="1242"/>
      <c r="L76" s="1229">
        <f t="shared" si="56"/>
        <v>3613</v>
      </c>
      <c r="M76" s="1230"/>
      <c r="N76" s="1219"/>
      <c r="O76" s="1219"/>
      <c r="P76" s="1219"/>
      <c r="Q76" s="1219"/>
      <c r="R76" s="1220"/>
      <c r="T76" s="1238"/>
    </row>
    <row r="77" spans="2:22">
      <c r="B77" s="1241" t="s">
        <v>841</v>
      </c>
      <c r="C77" s="1244">
        <f>SUM(C67:C76)</f>
        <v>1610239</v>
      </c>
      <c r="D77" s="1205">
        <f>SUM(D67:D76)</f>
        <v>658371</v>
      </c>
      <c r="E77" s="1205">
        <f>SUM(E67:E76)</f>
        <v>-120350</v>
      </c>
      <c r="F77" s="1205">
        <f>SUM(F67:F76)</f>
        <v>-1093</v>
      </c>
      <c r="G77" s="1205">
        <f t="shared" ref="G77" si="58">SUM(G67:G76)</f>
        <v>2147167</v>
      </c>
      <c r="H77" s="1245">
        <f>SUM(H67:H76)</f>
        <v>139253</v>
      </c>
      <c r="I77" s="1205">
        <f t="shared" ref="I77:K77" si="59">SUM(I67:I76)</f>
        <v>-68450</v>
      </c>
      <c r="J77" s="1205">
        <f t="shared" si="59"/>
        <v>70803</v>
      </c>
      <c r="K77" s="1205">
        <f t="shared" si="59"/>
        <v>3561</v>
      </c>
      <c r="L77" s="1229">
        <f>G77-J77+K77</f>
        <v>2079925</v>
      </c>
      <c r="M77" s="1243"/>
      <c r="N77" s="1203"/>
      <c r="O77" s="1203"/>
      <c r="P77" s="1203"/>
      <c r="Q77" s="1203"/>
      <c r="R77" s="1031"/>
      <c r="U77" s="1246"/>
    </row>
    <row r="78" spans="2:22">
      <c r="H78" s="947">
        <f>SUM(C77:E77)</f>
        <v>2148260</v>
      </c>
      <c r="I78" s="311">
        <f>J77/H78</f>
        <v>3.2958301136733918E-2</v>
      </c>
    </row>
    <row r="79" spans="2:22" ht="38.25">
      <c r="B79" s="1236">
        <v>2015</v>
      </c>
      <c r="C79" s="1237">
        <v>2014</v>
      </c>
      <c r="D79" s="888" t="s">
        <v>979</v>
      </c>
      <c r="E79" s="889" t="s">
        <v>950</v>
      </c>
      <c r="F79" s="889" t="s">
        <v>962</v>
      </c>
      <c r="G79" s="895" t="s">
        <v>841</v>
      </c>
      <c r="H79" s="890" t="s">
        <v>963</v>
      </c>
      <c r="I79" s="891" t="s">
        <v>964</v>
      </c>
      <c r="J79" s="896" t="s">
        <v>841</v>
      </c>
      <c r="K79" s="892" t="s">
        <v>958</v>
      </c>
      <c r="L79" s="893" t="s">
        <v>990</v>
      </c>
    </row>
    <row r="80" spans="2:22">
      <c r="B80" s="1212" t="s">
        <v>966</v>
      </c>
      <c r="C80" s="1213">
        <f>L67</f>
        <v>367505</v>
      </c>
      <c r="D80" s="138">
        <v>11451</v>
      </c>
      <c r="E80" s="138"/>
      <c r="F80" s="138">
        <v>-14405</v>
      </c>
      <c r="G80" s="138">
        <f t="shared" ref="G80:G84" si="60">SUM(C80:F80)</f>
        <v>364551</v>
      </c>
      <c r="H80" s="213">
        <v>0</v>
      </c>
      <c r="I80" s="138">
        <v>0</v>
      </c>
      <c r="J80" s="138">
        <f t="shared" ref="J80:J89" si="61">SUM(H80:I80)</f>
        <v>0</v>
      </c>
      <c r="K80" s="1239"/>
      <c r="L80" s="1213">
        <f>G80-J80+K80</f>
        <v>364551</v>
      </c>
      <c r="U80" s="1246"/>
    </row>
    <row r="81" spans="2:21">
      <c r="B81" s="1212" t="s">
        <v>938</v>
      </c>
      <c r="C81" s="1213">
        <f>L68</f>
        <v>342193</v>
      </c>
      <c r="D81" s="138">
        <v>7436</v>
      </c>
      <c r="E81" s="138"/>
      <c r="F81" s="138">
        <v>332375</v>
      </c>
      <c r="G81" s="138">
        <f t="shared" si="60"/>
        <v>682004</v>
      </c>
      <c r="H81" s="213">
        <v>13945</v>
      </c>
      <c r="I81" s="138">
        <v>0</v>
      </c>
      <c r="J81" s="138">
        <f t="shared" si="61"/>
        <v>13945</v>
      </c>
      <c r="K81" s="1239"/>
      <c r="L81" s="1213">
        <f t="shared" ref="L81:L89" si="62">G81-J81+K81</f>
        <v>668059</v>
      </c>
    </row>
    <row r="82" spans="2:21">
      <c r="B82" s="1212" t="s">
        <v>941</v>
      </c>
      <c r="C82" s="1213">
        <f t="shared" ref="C82:C86" si="63">L69</f>
        <v>434240</v>
      </c>
      <c r="D82" s="138">
        <v>8986</v>
      </c>
      <c r="E82" s="138">
        <v>-3070</v>
      </c>
      <c r="F82" s="138">
        <v>327010</v>
      </c>
      <c r="G82" s="138">
        <f t="shared" si="60"/>
        <v>767166</v>
      </c>
      <c r="H82" s="213">
        <v>46161</v>
      </c>
      <c r="I82" s="138">
        <v>186</v>
      </c>
      <c r="J82" s="138">
        <f t="shared" si="61"/>
        <v>46347</v>
      </c>
      <c r="K82" s="1239">
        <v>-43908</v>
      </c>
      <c r="L82" s="1213">
        <f t="shared" si="62"/>
        <v>676911</v>
      </c>
    </row>
    <row r="83" spans="2:21">
      <c r="B83" s="1212" t="s">
        <v>945</v>
      </c>
      <c r="C83" s="1213">
        <f t="shared" si="63"/>
        <v>17465</v>
      </c>
      <c r="D83" s="138">
        <v>4669</v>
      </c>
      <c r="E83" s="138">
        <v>-1436</v>
      </c>
      <c r="F83" s="138">
        <v>2120</v>
      </c>
      <c r="G83" s="138">
        <f t="shared" si="60"/>
        <v>22818</v>
      </c>
      <c r="H83" s="213">
        <v>4809</v>
      </c>
      <c r="I83" s="138">
        <v>-650</v>
      </c>
      <c r="J83" s="138">
        <f t="shared" si="61"/>
        <v>4159</v>
      </c>
      <c r="K83" s="1239">
        <v>0</v>
      </c>
      <c r="L83" s="1213">
        <f t="shared" si="62"/>
        <v>18659</v>
      </c>
    </row>
    <row r="84" spans="2:21">
      <c r="B84" s="1212" t="s">
        <v>948</v>
      </c>
      <c r="C84" s="1213">
        <f t="shared" si="63"/>
        <v>20130</v>
      </c>
      <c r="D84" s="138">
        <v>1151</v>
      </c>
      <c r="E84" s="138"/>
      <c r="F84" s="138">
        <v>925</v>
      </c>
      <c r="G84" s="138">
        <f t="shared" si="60"/>
        <v>22206</v>
      </c>
      <c r="H84" s="213">
        <v>2738</v>
      </c>
      <c r="I84" s="138">
        <v>0</v>
      </c>
      <c r="J84" s="138">
        <f t="shared" si="61"/>
        <v>2738</v>
      </c>
      <c r="K84" s="1239"/>
      <c r="L84" s="1213">
        <f t="shared" si="62"/>
        <v>19468</v>
      </c>
    </row>
    <row r="85" spans="2:21">
      <c r="B85" s="1212" t="s">
        <v>951</v>
      </c>
      <c r="C85" s="1213">
        <f t="shared" si="63"/>
        <v>131556</v>
      </c>
      <c r="D85" s="138">
        <v>56947</v>
      </c>
      <c r="E85" s="138">
        <v>-45545</v>
      </c>
      <c r="F85" s="138"/>
      <c r="G85" s="138">
        <f>SUM(C85:F85)</f>
        <v>142958</v>
      </c>
      <c r="H85" s="213">
        <v>39971</v>
      </c>
      <c r="I85" s="138">
        <v>-32520</v>
      </c>
      <c r="J85" s="138">
        <f t="shared" si="61"/>
        <v>7451</v>
      </c>
      <c r="K85" s="1239"/>
      <c r="L85" s="1213">
        <f t="shared" si="62"/>
        <v>135507</v>
      </c>
    </row>
    <row r="86" spans="2:21">
      <c r="B86" s="1212" t="s">
        <v>954</v>
      </c>
      <c r="C86" s="1213">
        <f t="shared" si="63"/>
        <v>167121</v>
      </c>
      <c r="D86" s="138">
        <v>13305</v>
      </c>
      <c r="E86" s="138">
        <v>-18258</v>
      </c>
      <c r="F86" s="138">
        <v>59505</v>
      </c>
      <c r="G86" s="138">
        <f>SUM(C86:F86)</f>
        <v>221673</v>
      </c>
      <c r="H86" s="213">
        <v>54638</v>
      </c>
      <c r="I86" s="138">
        <v>-17409</v>
      </c>
      <c r="J86" s="138">
        <f t="shared" si="61"/>
        <v>37229</v>
      </c>
      <c r="K86" s="1239"/>
      <c r="L86" s="1213">
        <f t="shared" si="62"/>
        <v>184444</v>
      </c>
    </row>
    <row r="87" spans="2:21">
      <c r="B87" s="1212" t="s">
        <v>974</v>
      </c>
      <c r="C87" s="1213">
        <f>L74</f>
        <v>0</v>
      </c>
      <c r="D87" s="138"/>
      <c r="E87" s="138"/>
      <c r="F87" s="138"/>
      <c r="G87" s="138"/>
      <c r="H87" s="213"/>
      <c r="I87" s="138">
        <v>0</v>
      </c>
      <c r="J87" s="138">
        <f t="shared" si="61"/>
        <v>0</v>
      </c>
      <c r="K87" s="1239"/>
      <c r="L87" s="1213">
        <f t="shared" si="62"/>
        <v>0</v>
      </c>
    </row>
    <row r="88" spans="2:21">
      <c r="B88" s="1212" t="s">
        <v>975</v>
      </c>
      <c r="C88" s="1213">
        <f>L75</f>
        <v>596102</v>
      </c>
      <c r="D88" s="138">
        <v>150279</v>
      </c>
      <c r="E88" s="138">
        <v>-2591</v>
      </c>
      <c r="F88" s="138">
        <v>-688619</v>
      </c>
      <c r="G88" s="138">
        <f>SUM(C88:F88)</f>
        <v>55171</v>
      </c>
      <c r="H88" s="213">
        <v>0</v>
      </c>
      <c r="I88" s="138">
        <v>0</v>
      </c>
      <c r="J88" s="138">
        <f t="shared" si="61"/>
        <v>0</v>
      </c>
      <c r="K88" s="1239"/>
      <c r="L88" s="1213">
        <f t="shared" si="62"/>
        <v>55171</v>
      </c>
    </row>
    <row r="89" spans="2:21">
      <c r="B89" s="1241" t="s">
        <v>976</v>
      </c>
      <c r="C89" s="1213">
        <f>L76</f>
        <v>3613</v>
      </c>
      <c r="D89" s="138">
        <v>20282</v>
      </c>
      <c r="E89" s="138"/>
      <c r="F89" s="138">
        <v>-18911</v>
      </c>
      <c r="G89" s="138">
        <f>SUM(C89:F89)</f>
        <v>4984</v>
      </c>
      <c r="H89" s="213">
        <v>0</v>
      </c>
      <c r="I89" s="138"/>
      <c r="J89" s="138">
        <f t="shared" si="61"/>
        <v>0</v>
      </c>
      <c r="K89" s="1242"/>
      <c r="L89" s="1213">
        <f t="shared" si="62"/>
        <v>4984</v>
      </c>
      <c r="T89" s="1238"/>
    </row>
    <row r="90" spans="2:21">
      <c r="B90" s="1241" t="s">
        <v>841</v>
      </c>
      <c r="C90" s="1244">
        <f>SUM(C80:C89)</f>
        <v>2079925</v>
      </c>
      <c r="D90" s="1205">
        <f>SUM(D80:D89)</f>
        <v>274506</v>
      </c>
      <c r="E90" s="1205">
        <f>SUM(E80:E89)</f>
        <v>-70900</v>
      </c>
      <c r="F90" s="1205">
        <f>SUM(F80:F89)</f>
        <v>0</v>
      </c>
      <c r="G90" s="1205">
        <f t="shared" ref="G90" si="64">SUM(G80:G89)</f>
        <v>2283531</v>
      </c>
      <c r="H90" s="1245">
        <f>SUM(H80:H89)</f>
        <v>162262</v>
      </c>
      <c r="I90" s="1205">
        <f t="shared" ref="I90:K90" si="65">SUM(I80:I89)</f>
        <v>-50393</v>
      </c>
      <c r="J90" s="1205">
        <f t="shared" si="65"/>
        <v>111869</v>
      </c>
      <c r="K90" s="1205">
        <f t="shared" si="65"/>
        <v>-43908</v>
      </c>
      <c r="L90" s="1244">
        <f>G90-J90+K90</f>
        <v>2127754</v>
      </c>
    </row>
    <row r="91" spans="2:21">
      <c r="H91" s="947">
        <f>SUM(C90:E90)</f>
        <v>2283531</v>
      </c>
      <c r="I91" s="311">
        <f>J90/H91</f>
        <v>4.8989481640494478E-2</v>
      </c>
    </row>
    <row r="92" spans="2:21">
      <c r="L92" s="1238"/>
    </row>
    <row r="94" spans="2:21">
      <c r="U94" s="1246"/>
    </row>
    <row r="102" spans="20:24">
      <c r="T102" s="1238"/>
    </row>
    <row r="104" spans="20:24">
      <c r="T104" s="1238"/>
    </row>
    <row r="108" spans="20:24">
      <c r="X108" s="1246"/>
    </row>
    <row r="115" spans="20:20">
      <c r="T115" s="1238"/>
    </row>
  </sheetData>
  <mergeCells count="22">
    <mergeCell ref="M28:R33"/>
    <mergeCell ref="C13:C14"/>
    <mergeCell ref="D13:G13"/>
    <mergeCell ref="H13:J13"/>
    <mergeCell ref="K13:K14"/>
    <mergeCell ref="L13:L14"/>
    <mergeCell ref="T12:AA12"/>
    <mergeCell ref="M67:R70"/>
    <mergeCell ref="M71:R73"/>
    <mergeCell ref="M41:R45"/>
    <mergeCell ref="M46:R50"/>
    <mergeCell ref="M53:R53"/>
    <mergeCell ref="M54:R56"/>
    <mergeCell ref="M57:R59"/>
    <mergeCell ref="M66:R66"/>
    <mergeCell ref="M40:R40"/>
    <mergeCell ref="T27:AA27"/>
    <mergeCell ref="M13:R14"/>
    <mergeCell ref="M15:R17"/>
    <mergeCell ref="M18:R20"/>
    <mergeCell ref="M21:R23"/>
    <mergeCell ref="M27:R27"/>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9" tint="0.39997558519241921"/>
  </sheetPr>
  <dimension ref="B1:R61"/>
  <sheetViews>
    <sheetView showGridLines="0" zoomScale="90" zoomScaleNormal="90" workbookViewId="0">
      <pane xSplit="2" ySplit="4" topLeftCell="J35" activePane="bottomRight" state="frozen"/>
      <selection activeCell="D89" sqref="D89"/>
      <selection pane="topRight" activeCell="D89" sqref="D89"/>
      <selection pane="bottomLeft" activeCell="D89" sqref="D89"/>
      <selection pane="bottomRight" activeCell="K6" sqref="K6"/>
    </sheetView>
  </sheetViews>
  <sheetFormatPr baseColWidth="10" defaultRowHeight="12.75"/>
  <cols>
    <col min="1" max="1" width="5.140625" style="62" customWidth="1"/>
    <col min="2" max="2" width="48.5703125" style="62" bestFit="1" customWidth="1"/>
    <col min="3" max="9" width="12.5703125" style="62" customWidth="1"/>
    <col min="10" max="10" width="3.85546875" style="88" customWidth="1"/>
    <col min="11" max="11" width="13.42578125" style="62" customWidth="1"/>
    <col min="12" max="17" width="12.85546875" style="62" bestFit="1" customWidth="1"/>
    <col min="18" max="16384" width="11.42578125" style="62"/>
  </cols>
  <sheetData>
    <row r="1" spans="2:18" ht="26.25">
      <c r="B1" s="29" t="s">
        <v>696</v>
      </c>
      <c r="C1" s="29"/>
      <c r="D1" s="29"/>
      <c r="E1" s="29"/>
      <c r="F1" s="29"/>
      <c r="G1" s="29"/>
      <c r="H1" s="29"/>
      <c r="I1" s="29"/>
      <c r="J1" s="51"/>
      <c r="K1" s="199"/>
    </row>
    <row r="2" spans="2:18" ht="18">
      <c r="B2" s="200" t="s">
        <v>702</v>
      </c>
      <c r="C2" s="200"/>
      <c r="D2" s="200"/>
      <c r="E2" s="1455"/>
      <c r="F2" s="1456"/>
      <c r="G2" s="200"/>
      <c r="H2" s="200"/>
      <c r="I2" s="200"/>
      <c r="J2" s="201"/>
      <c r="K2" s="200" t="s">
        <v>1379</v>
      </c>
    </row>
    <row r="3" spans="2:18">
      <c r="K3" s="202">
        <v>3.41</v>
      </c>
      <c r="L3" s="202">
        <v>2.99</v>
      </c>
      <c r="M3" s="202">
        <v>2.7959999999999998</v>
      </c>
      <c r="N3" s="202">
        <v>2.5510000000000002</v>
      </c>
      <c r="O3" s="202">
        <v>2.6970000000000001</v>
      </c>
      <c r="P3" s="202">
        <v>2.8090000000000002</v>
      </c>
      <c r="Q3" s="202">
        <v>2.891</v>
      </c>
    </row>
    <row r="4" spans="2:18" s="199" customFormat="1">
      <c r="B4" s="203" t="s">
        <v>21</v>
      </c>
      <c r="C4" s="204">
        <v>2015</v>
      </c>
      <c r="D4" s="205">
        <v>2014</v>
      </c>
      <c r="E4" s="205">
        <v>2013</v>
      </c>
      <c r="F4" s="205">
        <v>2012</v>
      </c>
      <c r="G4" s="205">
        <v>2011</v>
      </c>
      <c r="H4" s="205">
        <v>2010</v>
      </c>
      <c r="I4" s="206">
        <v>2009</v>
      </c>
      <c r="J4" s="207"/>
      <c r="K4" s="204">
        <v>2015</v>
      </c>
      <c r="L4" s="205">
        <v>2014</v>
      </c>
      <c r="M4" s="205">
        <v>2013</v>
      </c>
      <c r="N4" s="205">
        <v>2012</v>
      </c>
      <c r="O4" s="205">
        <v>2011</v>
      </c>
      <c r="P4" s="205">
        <v>2010</v>
      </c>
      <c r="Q4" s="206">
        <v>2009</v>
      </c>
      <c r="R4" s="208"/>
    </row>
    <row r="5" spans="2:18" s="199" customFormat="1">
      <c r="B5" s="209" t="s">
        <v>22</v>
      </c>
      <c r="C5" s="210"/>
      <c r="D5" s="80"/>
      <c r="E5" s="80"/>
      <c r="F5" s="80"/>
      <c r="G5" s="80"/>
      <c r="H5" s="80"/>
      <c r="I5" s="211"/>
      <c r="J5" s="207"/>
      <c r="K5" s="210"/>
      <c r="L5" s="80"/>
      <c r="M5" s="80"/>
      <c r="N5" s="80"/>
      <c r="O5" s="80"/>
      <c r="P5" s="80"/>
      <c r="Q5" s="211"/>
    </row>
    <row r="6" spans="2:18">
      <c r="B6" s="212" t="s">
        <v>23</v>
      </c>
      <c r="C6" s="213">
        <v>283835</v>
      </c>
      <c r="D6" s="138">
        <v>99167</v>
      </c>
      <c r="E6" s="138">
        <v>346662</v>
      </c>
      <c r="F6" s="138">
        <v>41039</v>
      </c>
      <c r="G6" s="138">
        <v>357355</v>
      </c>
      <c r="H6" s="138">
        <v>42345</v>
      </c>
      <c r="I6" s="214">
        <v>35442</v>
      </c>
      <c r="K6" s="215">
        <f>C6/K$3</f>
        <v>83236.070381231664</v>
      </c>
      <c r="L6" s="216">
        <f t="shared" ref="L6:L13" si="0">D6/L$3</f>
        <v>33166.220735785952</v>
      </c>
      <c r="M6" s="216">
        <f t="shared" ref="M6:M13" si="1">E6/M$3</f>
        <v>123984.97854077254</v>
      </c>
      <c r="N6" s="216">
        <f t="shared" ref="N6:N13" si="2">F6/N$3</f>
        <v>16087.416699333593</v>
      </c>
      <c r="O6" s="216">
        <f t="shared" ref="O6:O13" si="3">G6/O$3</f>
        <v>132500.9269558769</v>
      </c>
      <c r="P6" s="216">
        <f t="shared" ref="P6:P13" si="4">H6/P$3</f>
        <v>15074.759700961195</v>
      </c>
      <c r="Q6" s="217">
        <f t="shared" ref="Q6:Q13" si="5">I6/Q$3</f>
        <v>12259.425804219993</v>
      </c>
    </row>
    <row r="7" spans="2:18">
      <c r="B7" s="212" t="s">
        <v>24</v>
      </c>
      <c r="C7" s="218">
        <v>160079</v>
      </c>
      <c r="D7" s="138">
        <v>217299</v>
      </c>
      <c r="E7" s="138">
        <v>188844</v>
      </c>
      <c r="F7" s="138">
        <v>150483</v>
      </c>
      <c r="G7" s="138">
        <v>152770</v>
      </c>
      <c r="H7" s="138">
        <v>96717</v>
      </c>
      <c r="I7" s="214">
        <v>71770</v>
      </c>
      <c r="K7" s="215">
        <f t="shared" ref="K7:K13" si="6">C7/K$3</f>
        <v>46943.988269794718</v>
      </c>
      <c r="L7" s="216">
        <f t="shared" si="0"/>
        <v>72675.250836120395</v>
      </c>
      <c r="M7" s="216">
        <f t="shared" si="1"/>
        <v>67540.772532188843</v>
      </c>
      <c r="N7" s="216">
        <f t="shared" si="2"/>
        <v>58989.807918463346</v>
      </c>
      <c r="O7" s="216">
        <f t="shared" si="3"/>
        <v>56644.419725621061</v>
      </c>
      <c r="P7" s="216">
        <f t="shared" si="4"/>
        <v>34431.114275542895</v>
      </c>
      <c r="Q7" s="217">
        <f t="shared" si="5"/>
        <v>24825.319958491873</v>
      </c>
    </row>
    <row r="8" spans="2:18">
      <c r="B8" s="212" t="s">
        <v>25</v>
      </c>
      <c r="C8" s="218">
        <v>10151</v>
      </c>
      <c r="D8" s="138">
        <v>161594</v>
      </c>
      <c r="E8" s="138">
        <v>118996</v>
      </c>
      <c r="F8" s="138">
        <v>43924</v>
      </c>
      <c r="G8" s="138">
        <v>54859</v>
      </c>
      <c r="H8" s="138">
        <v>71309</v>
      </c>
      <c r="I8" s="214">
        <v>44454</v>
      </c>
      <c r="K8" s="215">
        <f t="shared" si="6"/>
        <v>2976.8328445747798</v>
      </c>
      <c r="L8" s="216">
        <f t="shared" si="0"/>
        <v>54044.816053511699</v>
      </c>
      <c r="M8" s="216">
        <f t="shared" si="1"/>
        <v>42559.370529327614</v>
      </c>
      <c r="N8" s="216">
        <f t="shared" si="2"/>
        <v>17218.345746765972</v>
      </c>
      <c r="O8" s="216">
        <f t="shared" si="3"/>
        <v>20340.748980348533</v>
      </c>
      <c r="P8" s="216">
        <f t="shared" si="4"/>
        <v>25385.902456390173</v>
      </c>
      <c r="Q8" s="217">
        <f t="shared" si="5"/>
        <v>15376.686267727429</v>
      </c>
    </row>
    <row r="9" spans="2:18">
      <c r="B9" s="212" t="s">
        <v>26</v>
      </c>
      <c r="C9" s="218">
        <v>73966</v>
      </c>
      <c r="D9" s="138">
        <v>62385</v>
      </c>
      <c r="E9" s="138">
        <v>53502</v>
      </c>
      <c r="F9" s="138">
        <v>38078</v>
      </c>
      <c r="G9" s="138">
        <v>34943</v>
      </c>
      <c r="H9" s="138">
        <v>59108</v>
      </c>
      <c r="I9" s="214">
        <v>33182</v>
      </c>
      <c r="K9" s="215">
        <f t="shared" si="6"/>
        <v>21690.909090909088</v>
      </c>
      <c r="L9" s="216">
        <f t="shared" si="0"/>
        <v>20864.548494983275</v>
      </c>
      <c r="M9" s="216">
        <f t="shared" si="1"/>
        <v>19135.193133047211</v>
      </c>
      <c r="N9" s="216">
        <f t="shared" si="2"/>
        <v>14926.695413563308</v>
      </c>
      <c r="O9" s="216">
        <f t="shared" si="3"/>
        <v>12956.247682610307</v>
      </c>
      <c r="P9" s="216">
        <f t="shared" si="4"/>
        <v>21042.363830544677</v>
      </c>
      <c r="Q9" s="217">
        <f t="shared" si="5"/>
        <v>11477.689380837081</v>
      </c>
    </row>
    <row r="10" spans="2:18">
      <c r="B10" s="212" t="s">
        <v>27</v>
      </c>
      <c r="C10" s="218">
        <v>265068</v>
      </c>
      <c r="D10" s="138">
        <v>250669</v>
      </c>
      <c r="E10" s="138">
        <v>282530</v>
      </c>
      <c r="F10" s="138">
        <v>258116</v>
      </c>
      <c r="G10" s="138">
        <v>213449</v>
      </c>
      <c r="H10" s="138">
        <v>204826</v>
      </c>
      <c r="I10" s="214">
        <v>147298</v>
      </c>
      <c r="K10" s="215">
        <f t="shared" si="6"/>
        <v>77732.55131964809</v>
      </c>
      <c r="L10" s="216">
        <f t="shared" si="0"/>
        <v>83835.785953177256</v>
      </c>
      <c r="M10" s="216">
        <f t="shared" si="1"/>
        <v>101047.92560801146</v>
      </c>
      <c r="N10" s="216">
        <f t="shared" si="2"/>
        <v>101182.28145825166</v>
      </c>
      <c r="O10" s="216">
        <f t="shared" si="3"/>
        <v>79143.121987393402</v>
      </c>
      <c r="P10" s="216">
        <f t="shared" si="4"/>
        <v>72917.764328942678</v>
      </c>
      <c r="Q10" s="217">
        <f t="shared" si="5"/>
        <v>50950.536146662052</v>
      </c>
    </row>
    <row r="11" spans="2:18">
      <c r="B11" s="212" t="s">
        <v>28</v>
      </c>
      <c r="C11" s="218">
        <v>41656</v>
      </c>
      <c r="D11" s="138">
        <v>29446</v>
      </c>
      <c r="E11" s="138">
        <v>33845</v>
      </c>
      <c r="F11" s="138">
        <v>942</v>
      </c>
      <c r="G11" s="138">
        <v>0</v>
      </c>
      <c r="H11" s="138">
        <v>0</v>
      </c>
      <c r="I11" s="214">
        <v>0</v>
      </c>
      <c r="K11" s="215">
        <f t="shared" si="6"/>
        <v>12215.8357771261</v>
      </c>
      <c r="L11" s="216">
        <f t="shared" si="0"/>
        <v>9848.1605351170565</v>
      </c>
      <c r="M11" s="216">
        <f t="shared" si="1"/>
        <v>12104.792560801145</v>
      </c>
      <c r="N11" s="216">
        <f t="shared" si="2"/>
        <v>369.26695413563306</v>
      </c>
      <c r="O11" s="216">
        <f t="shared" si="3"/>
        <v>0</v>
      </c>
      <c r="P11" s="216">
        <f t="shared" si="4"/>
        <v>0</v>
      </c>
      <c r="Q11" s="217">
        <f t="shared" si="5"/>
        <v>0</v>
      </c>
    </row>
    <row r="12" spans="2:18">
      <c r="B12" s="212" t="s">
        <v>29</v>
      </c>
      <c r="C12" s="218">
        <v>11240</v>
      </c>
      <c r="D12" s="138">
        <v>3613</v>
      </c>
      <c r="E12" s="138">
        <v>2669</v>
      </c>
      <c r="F12" s="138">
        <v>3678</v>
      </c>
      <c r="G12" s="138">
        <v>11918</v>
      </c>
      <c r="H12" s="138">
        <v>1600</v>
      </c>
      <c r="I12" s="214">
        <v>1574</v>
      </c>
      <c r="K12" s="215">
        <f t="shared" si="6"/>
        <v>3296.1876832844573</v>
      </c>
      <c r="L12" s="216">
        <f t="shared" si="0"/>
        <v>1208.3612040133778</v>
      </c>
      <c r="M12" s="216">
        <f t="shared" si="1"/>
        <v>954.57796852646641</v>
      </c>
      <c r="N12" s="216">
        <f t="shared" si="2"/>
        <v>1441.7875343002743</v>
      </c>
      <c r="O12" s="216">
        <f t="shared" si="3"/>
        <v>4418.9840563589169</v>
      </c>
      <c r="P12" s="216">
        <f t="shared" si="4"/>
        <v>569.59772160911348</v>
      </c>
      <c r="Q12" s="217">
        <f t="shared" si="5"/>
        <v>544.44828778969213</v>
      </c>
    </row>
    <row r="13" spans="2:18">
      <c r="B13" s="212" t="s">
        <v>30</v>
      </c>
      <c r="C13" s="212"/>
      <c r="D13" s="138">
        <v>3300</v>
      </c>
      <c r="E13" s="138">
        <v>40868</v>
      </c>
      <c r="F13" s="138">
        <v>228916</v>
      </c>
      <c r="G13" s="138">
        <v>0</v>
      </c>
      <c r="H13" s="138">
        <v>0</v>
      </c>
      <c r="I13" s="214">
        <v>0</v>
      </c>
      <c r="K13" s="215">
        <f t="shared" si="6"/>
        <v>0</v>
      </c>
      <c r="L13" s="216">
        <f t="shared" si="0"/>
        <v>1103.6789297658861</v>
      </c>
      <c r="M13" s="216">
        <f t="shared" si="1"/>
        <v>14616.595135908441</v>
      </c>
      <c r="N13" s="216">
        <f t="shared" si="2"/>
        <v>89735.789886319079</v>
      </c>
      <c r="O13" s="216">
        <f t="shared" si="3"/>
        <v>0</v>
      </c>
      <c r="P13" s="216">
        <f t="shared" si="4"/>
        <v>0</v>
      </c>
      <c r="Q13" s="217">
        <f t="shared" si="5"/>
        <v>0</v>
      </c>
    </row>
    <row r="14" spans="2:18" s="199" customFormat="1">
      <c r="B14" s="209" t="s">
        <v>31</v>
      </c>
      <c r="C14" s="219">
        <f t="shared" ref="C14:I14" si="7">+SUM(C6:C13)</f>
        <v>845995</v>
      </c>
      <c r="D14" s="220">
        <f t="shared" si="7"/>
        <v>827473</v>
      </c>
      <c r="E14" s="220">
        <f t="shared" si="7"/>
        <v>1067916</v>
      </c>
      <c r="F14" s="220">
        <f t="shared" si="7"/>
        <v>765176</v>
      </c>
      <c r="G14" s="220">
        <f t="shared" si="7"/>
        <v>825294</v>
      </c>
      <c r="H14" s="220">
        <f t="shared" si="7"/>
        <v>475905</v>
      </c>
      <c r="I14" s="221">
        <f t="shared" si="7"/>
        <v>333720</v>
      </c>
      <c r="J14" s="207"/>
      <c r="K14" s="222">
        <f t="shared" ref="K14:Q14" si="8">+SUM(K6:K13)</f>
        <v>248092.37536656889</v>
      </c>
      <c r="L14" s="223">
        <f t="shared" si="8"/>
        <v>276746.82274247491</v>
      </c>
      <c r="M14" s="223">
        <f t="shared" si="8"/>
        <v>381944.20600858371</v>
      </c>
      <c r="N14" s="223">
        <f t="shared" si="8"/>
        <v>299951.39161113289</v>
      </c>
      <c r="O14" s="223">
        <f t="shared" si="8"/>
        <v>306004.44938820909</v>
      </c>
      <c r="P14" s="223">
        <f t="shared" si="8"/>
        <v>169421.50231399073</v>
      </c>
      <c r="Q14" s="224">
        <f t="shared" si="8"/>
        <v>115434.10584572812</v>
      </c>
    </row>
    <row r="15" spans="2:18">
      <c r="B15" s="212"/>
      <c r="C15" s="212"/>
      <c r="D15" s="138"/>
      <c r="E15" s="138"/>
      <c r="F15" s="138"/>
      <c r="G15" s="138"/>
      <c r="H15" s="138"/>
      <c r="I15" s="214"/>
      <c r="K15" s="225"/>
      <c r="L15" s="216"/>
      <c r="M15" s="216"/>
      <c r="N15" s="216"/>
      <c r="O15" s="216"/>
      <c r="P15" s="216"/>
      <c r="Q15" s="217"/>
    </row>
    <row r="16" spans="2:18">
      <c r="B16" s="212"/>
      <c r="C16" s="212"/>
      <c r="D16" s="138"/>
      <c r="E16" s="138"/>
      <c r="F16" s="138"/>
      <c r="G16" s="138"/>
      <c r="H16" s="138"/>
      <c r="I16" s="214"/>
      <c r="K16" s="225"/>
      <c r="L16" s="216"/>
      <c r="M16" s="216"/>
      <c r="N16" s="216"/>
      <c r="O16" s="216"/>
      <c r="P16" s="216"/>
      <c r="Q16" s="217"/>
    </row>
    <row r="17" spans="2:17" s="199" customFormat="1">
      <c r="B17" s="209" t="s">
        <v>32</v>
      </c>
      <c r="C17" s="209"/>
      <c r="D17" s="220"/>
      <c r="E17" s="220"/>
      <c r="F17" s="220"/>
      <c r="G17" s="220"/>
      <c r="H17" s="220"/>
      <c r="I17" s="221"/>
      <c r="J17" s="207"/>
      <c r="K17" s="226"/>
      <c r="L17" s="223"/>
      <c r="M17" s="223"/>
      <c r="N17" s="223"/>
      <c r="O17" s="223"/>
      <c r="P17" s="223"/>
      <c r="Q17" s="224"/>
    </row>
    <row r="18" spans="2:17">
      <c r="B18" s="212" t="s">
        <v>33</v>
      </c>
      <c r="C18" s="212">
        <v>4903</v>
      </c>
      <c r="D18" s="138">
        <v>29570</v>
      </c>
      <c r="E18" s="138">
        <v>34111</v>
      </c>
      <c r="F18" s="138">
        <v>28043</v>
      </c>
      <c r="G18" s="138">
        <v>0</v>
      </c>
      <c r="H18" s="138">
        <v>21036</v>
      </c>
      <c r="I18" s="214">
        <v>17824</v>
      </c>
      <c r="K18" s="215">
        <f>C18/K$3</f>
        <v>1437.8299120234603</v>
      </c>
      <c r="L18" s="216">
        <f t="shared" ref="L18:L25" si="9">D18/L$3</f>
        <v>9889.6321070234098</v>
      </c>
      <c r="M18" s="216">
        <f t="shared" ref="M18:M25" si="10">E18/M$3</f>
        <v>12199.928469241775</v>
      </c>
      <c r="N18" s="216">
        <f t="shared" ref="N18:N25" si="11">F18/N$3</f>
        <v>10992.943943551547</v>
      </c>
      <c r="O18" s="216">
        <f t="shared" ref="O18:O25" si="12">G18/O$3</f>
        <v>0</v>
      </c>
      <c r="P18" s="216">
        <f t="shared" ref="P18:P25" si="13">H18/P$3</f>
        <v>7488.7860448558204</v>
      </c>
      <c r="Q18" s="217">
        <f t="shared" ref="Q18:Q25" si="14">I18/Q$3</f>
        <v>6165.3407125562089</v>
      </c>
    </row>
    <row r="19" spans="2:17">
      <c r="B19" s="212" t="s">
        <v>34</v>
      </c>
      <c r="C19" s="212">
        <v>128695</v>
      </c>
      <c r="D19" s="138">
        <v>72491</v>
      </c>
      <c r="E19" s="138">
        <v>48017</v>
      </c>
      <c r="F19" s="138">
        <v>24486</v>
      </c>
      <c r="G19" s="138">
        <v>21376</v>
      </c>
      <c r="H19" s="138">
        <v>0</v>
      </c>
      <c r="I19" s="214">
        <v>0</v>
      </c>
      <c r="K19" s="215">
        <f t="shared" ref="K19:K25" si="15">C19/K$3</f>
        <v>37740.469208211143</v>
      </c>
      <c r="L19" s="216">
        <f t="shared" si="9"/>
        <v>24244.481605351168</v>
      </c>
      <c r="M19" s="216">
        <f t="shared" si="10"/>
        <v>17173.462088698143</v>
      </c>
      <c r="N19" s="216">
        <f t="shared" si="11"/>
        <v>9598.588788710309</v>
      </c>
      <c r="O19" s="216">
        <f t="shared" si="12"/>
        <v>7925.843529847979</v>
      </c>
      <c r="P19" s="216">
        <f t="shared" si="13"/>
        <v>0</v>
      </c>
      <c r="Q19" s="217">
        <f t="shared" si="14"/>
        <v>0</v>
      </c>
    </row>
    <row r="20" spans="2:17">
      <c r="B20" s="212" t="s">
        <v>35</v>
      </c>
      <c r="C20" s="212">
        <v>43918</v>
      </c>
      <c r="D20" s="138">
        <v>44483</v>
      </c>
      <c r="E20" s="138">
        <v>117638</v>
      </c>
      <c r="F20" s="138">
        <v>105922</v>
      </c>
      <c r="G20" s="138">
        <v>106578</v>
      </c>
      <c r="H20" s="138">
        <v>107886</v>
      </c>
      <c r="I20" s="214">
        <v>627623</v>
      </c>
      <c r="K20" s="215">
        <f t="shared" si="15"/>
        <v>12879.178885630497</v>
      </c>
      <c r="L20" s="216">
        <f t="shared" si="9"/>
        <v>14877.257525083611</v>
      </c>
      <c r="M20" s="216">
        <f t="shared" si="10"/>
        <v>42073.676680972821</v>
      </c>
      <c r="N20" s="216">
        <f t="shared" si="11"/>
        <v>41521.756174049391</v>
      </c>
      <c r="O20" s="216">
        <f t="shared" si="12"/>
        <v>39517.241379310341</v>
      </c>
      <c r="P20" s="216">
        <f t="shared" si="13"/>
        <v>38407.262370950513</v>
      </c>
      <c r="Q20" s="217">
        <f t="shared" si="14"/>
        <v>217095.46869595296</v>
      </c>
    </row>
    <row r="21" spans="2:17">
      <c r="B21" s="212" t="s">
        <v>36</v>
      </c>
      <c r="C21" s="212">
        <v>2127752</v>
      </c>
      <c r="D21" s="138">
        <v>2079925</v>
      </c>
      <c r="E21" s="138">
        <v>1610239</v>
      </c>
      <c r="F21" s="138">
        <v>1291532</v>
      </c>
      <c r="G21" s="138">
        <v>1091309</v>
      </c>
      <c r="H21" s="138">
        <v>789062</v>
      </c>
      <c r="I21" s="214">
        <v>0</v>
      </c>
      <c r="K21" s="215">
        <f t="shared" si="15"/>
        <v>623974.19354838703</v>
      </c>
      <c r="L21" s="216">
        <f t="shared" si="9"/>
        <v>695627.09030100331</v>
      </c>
      <c r="M21" s="216">
        <f t="shared" si="10"/>
        <v>575908.08297567954</v>
      </c>
      <c r="N21" s="216">
        <f t="shared" si="11"/>
        <v>506284.59427675419</v>
      </c>
      <c r="O21" s="216">
        <f t="shared" si="12"/>
        <v>404638.11642565811</v>
      </c>
      <c r="P21" s="216">
        <f t="shared" si="13"/>
        <v>280904.94838020648</v>
      </c>
      <c r="Q21" s="217">
        <f t="shared" si="14"/>
        <v>0</v>
      </c>
    </row>
    <row r="22" spans="2:17">
      <c r="B22" s="212" t="s">
        <v>37</v>
      </c>
      <c r="C22" s="212">
        <v>305555</v>
      </c>
      <c r="D22" s="138">
        <v>305555</v>
      </c>
      <c r="E22" s="138">
        <v>305555</v>
      </c>
      <c r="F22" s="138">
        <v>305555</v>
      </c>
      <c r="G22" s="138">
        <v>305555</v>
      </c>
      <c r="H22" s="138">
        <v>305555</v>
      </c>
      <c r="I22" s="214">
        <v>0</v>
      </c>
      <c r="K22" s="215">
        <f t="shared" si="15"/>
        <v>89605.571847507323</v>
      </c>
      <c r="L22" s="216">
        <f t="shared" si="9"/>
        <v>102192.30769230769</v>
      </c>
      <c r="M22" s="216">
        <f t="shared" si="10"/>
        <v>109282.90414878399</v>
      </c>
      <c r="N22" s="216">
        <f t="shared" si="11"/>
        <v>119778.51822814581</v>
      </c>
      <c r="O22" s="216">
        <f t="shared" si="12"/>
        <v>113294.40118650351</v>
      </c>
      <c r="P22" s="216">
        <f t="shared" si="13"/>
        <v>108777.14489142042</v>
      </c>
      <c r="Q22" s="217">
        <f t="shared" si="14"/>
        <v>0</v>
      </c>
    </row>
    <row r="23" spans="2:17">
      <c r="B23" s="212" t="s">
        <v>38</v>
      </c>
      <c r="C23" s="212">
        <v>3549</v>
      </c>
      <c r="D23" s="138">
        <v>4314</v>
      </c>
      <c r="E23" s="138">
        <v>10182</v>
      </c>
      <c r="F23" s="138">
        <v>1722</v>
      </c>
      <c r="G23" s="138">
        <v>1372</v>
      </c>
      <c r="H23" s="138">
        <v>1078</v>
      </c>
      <c r="I23" s="214">
        <v>310899</v>
      </c>
      <c r="K23" s="215">
        <f t="shared" si="15"/>
        <v>1040.7624633431085</v>
      </c>
      <c r="L23" s="216">
        <f t="shared" si="9"/>
        <v>1442.8093645484948</v>
      </c>
      <c r="M23" s="216">
        <f t="shared" si="10"/>
        <v>3641.630901287554</v>
      </c>
      <c r="N23" s="216">
        <f t="shared" si="11"/>
        <v>675.02940023520182</v>
      </c>
      <c r="O23" s="216">
        <f t="shared" si="12"/>
        <v>508.71338524286244</v>
      </c>
      <c r="P23" s="216">
        <f t="shared" si="13"/>
        <v>383.76646493414023</v>
      </c>
      <c r="Q23" s="217">
        <f t="shared" si="14"/>
        <v>107540.29747492218</v>
      </c>
    </row>
    <row r="24" spans="2:17">
      <c r="B24" s="212" t="s">
        <v>39</v>
      </c>
      <c r="C24" s="212">
        <v>16313</v>
      </c>
      <c r="D24" s="138">
        <v>0</v>
      </c>
      <c r="E24" s="138">
        <v>0</v>
      </c>
      <c r="F24" s="138">
        <v>0</v>
      </c>
      <c r="G24" s="138">
        <v>0</v>
      </c>
      <c r="H24" s="138">
        <v>0</v>
      </c>
      <c r="I24" s="214">
        <v>19708</v>
      </c>
      <c r="K24" s="215">
        <f t="shared" si="15"/>
        <v>4783.8709677419356</v>
      </c>
      <c r="L24" s="216">
        <f t="shared" si="9"/>
        <v>0</v>
      </c>
      <c r="M24" s="216">
        <f t="shared" si="10"/>
        <v>0</v>
      </c>
      <c r="N24" s="216">
        <f t="shared" si="11"/>
        <v>0</v>
      </c>
      <c r="O24" s="216">
        <f t="shared" si="12"/>
        <v>0</v>
      </c>
      <c r="P24" s="216">
        <f t="shared" si="13"/>
        <v>0</v>
      </c>
      <c r="Q24" s="217">
        <f t="shared" si="14"/>
        <v>6817.0183327568311</v>
      </c>
    </row>
    <row r="25" spans="2:17">
      <c r="B25" s="212" t="s">
        <v>40</v>
      </c>
      <c r="C25" s="212">
        <v>1666</v>
      </c>
      <c r="D25" s="138">
        <v>3181</v>
      </c>
      <c r="E25" s="138">
        <v>5137</v>
      </c>
      <c r="F25" s="138">
        <v>9526</v>
      </c>
      <c r="G25" s="138">
        <v>2425</v>
      </c>
      <c r="H25" s="138">
        <v>1991</v>
      </c>
      <c r="I25" s="214">
        <v>1621</v>
      </c>
      <c r="K25" s="215">
        <f t="shared" si="15"/>
        <v>488.56304985337243</v>
      </c>
      <c r="L25" s="216">
        <f t="shared" si="9"/>
        <v>1063.8795986622072</v>
      </c>
      <c r="M25" s="216">
        <f t="shared" si="10"/>
        <v>1837.2675250357654</v>
      </c>
      <c r="N25" s="216">
        <f t="shared" si="11"/>
        <v>3734.2218737749899</v>
      </c>
      <c r="O25" s="216">
        <f t="shared" si="12"/>
        <v>899.1472005932518</v>
      </c>
      <c r="P25" s="216">
        <f t="shared" si="13"/>
        <v>708.79316482734066</v>
      </c>
      <c r="Q25" s="217">
        <f t="shared" si="14"/>
        <v>560.70563818747837</v>
      </c>
    </row>
    <row r="26" spans="2:17" s="199" customFormat="1">
      <c r="B26" s="209" t="s">
        <v>41</v>
      </c>
      <c r="C26" s="219">
        <f t="shared" ref="C26:I26" si="16">+SUM(C18:C25)</f>
        <v>2632351</v>
      </c>
      <c r="D26" s="220">
        <f t="shared" si="16"/>
        <v>2539519</v>
      </c>
      <c r="E26" s="220">
        <f t="shared" si="16"/>
        <v>2130879</v>
      </c>
      <c r="F26" s="220">
        <f t="shared" si="16"/>
        <v>1766786</v>
      </c>
      <c r="G26" s="220">
        <f t="shared" si="16"/>
        <v>1528615</v>
      </c>
      <c r="H26" s="220">
        <f t="shared" si="16"/>
        <v>1226608</v>
      </c>
      <c r="I26" s="221">
        <f t="shared" si="16"/>
        <v>977675</v>
      </c>
      <c r="J26" s="207"/>
      <c r="K26" s="222">
        <f t="shared" ref="K26:Q26" si="17">+SUM(K18:K25)</f>
        <v>771950.439882698</v>
      </c>
      <c r="L26" s="223">
        <f t="shared" si="17"/>
        <v>849337.45819398004</v>
      </c>
      <c r="M26" s="223">
        <f t="shared" si="17"/>
        <v>762116.95278969954</v>
      </c>
      <c r="N26" s="223">
        <f t="shared" si="17"/>
        <v>692585.6526852214</v>
      </c>
      <c r="O26" s="223">
        <f t="shared" si="17"/>
        <v>566783.46310715599</v>
      </c>
      <c r="P26" s="223">
        <f t="shared" si="17"/>
        <v>436670.70131719473</v>
      </c>
      <c r="Q26" s="224">
        <f t="shared" si="17"/>
        <v>338178.83085437561</v>
      </c>
    </row>
    <row r="27" spans="2:17" s="199" customFormat="1">
      <c r="B27" s="227" t="s">
        <v>42</v>
      </c>
      <c r="C27" s="228">
        <f>+C26+C14</f>
        <v>3478346</v>
      </c>
      <c r="D27" s="229">
        <f>+D26+D14</f>
        <v>3366992</v>
      </c>
      <c r="E27" s="229">
        <f t="shared" ref="E27:I27" si="18">+E26+E14</f>
        <v>3198795</v>
      </c>
      <c r="F27" s="229">
        <f t="shared" si="18"/>
        <v>2531962</v>
      </c>
      <c r="G27" s="229">
        <f t="shared" si="18"/>
        <v>2353909</v>
      </c>
      <c r="H27" s="229">
        <f t="shared" si="18"/>
        <v>1702513</v>
      </c>
      <c r="I27" s="230">
        <f t="shared" si="18"/>
        <v>1311395</v>
      </c>
      <c r="J27" s="207"/>
      <c r="K27" s="231">
        <f>+K26+K14</f>
        <v>1020042.8152492669</v>
      </c>
      <c r="L27" s="232">
        <f>+L26+L14</f>
        <v>1126084.2809364549</v>
      </c>
      <c r="M27" s="232">
        <f t="shared" ref="M27:Q27" si="19">+M26+M14</f>
        <v>1144061.1587982832</v>
      </c>
      <c r="N27" s="232">
        <f t="shared" si="19"/>
        <v>992537.04429635429</v>
      </c>
      <c r="O27" s="232">
        <f t="shared" si="19"/>
        <v>872787.91249536513</v>
      </c>
      <c r="P27" s="232">
        <f t="shared" si="19"/>
        <v>606092.20363118546</v>
      </c>
      <c r="Q27" s="233">
        <f t="shared" si="19"/>
        <v>453612.93670010375</v>
      </c>
    </row>
    <row r="28" spans="2:17">
      <c r="B28" s="212"/>
      <c r="C28" s="212"/>
      <c r="D28" s="138"/>
      <c r="E28" s="138"/>
      <c r="F28" s="138"/>
      <c r="G28" s="138"/>
      <c r="H28" s="138"/>
      <c r="I28" s="214"/>
      <c r="K28" s="225"/>
      <c r="L28" s="216"/>
      <c r="M28" s="216"/>
      <c r="N28" s="216"/>
      <c r="O28" s="216"/>
      <c r="P28" s="216"/>
      <c r="Q28" s="217"/>
    </row>
    <row r="29" spans="2:17" s="199" customFormat="1">
      <c r="B29" s="209" t="s">
        <v>43</v>
      </c>
      <c r="C29" s="209"/>
      <c r="D29" s="220"/>
      <c r="E29" s="220"/>
      <c r="F29" s="220" t="s">
        <v>44</v>
      </c>
      <c r="G29" s="220"/>
      <c r="H29" s="220"/>
      <c r="I29" s="221"/>
      <c r="J29" s="207"/>
      <c r="K29" s="226"/>
      <c r="L29" s="223"/>
      <c r="M29" s="223"/>
      <c r="N29" s="223" t="s">
        <v>44</v>
      </c>
      <c r="O29" s="223"/>
      <c r="P29" s="223"/>
      <c r="Q29" s="224"/>
    </row>
    <row r="30" spans="2:17">
      <c r="B30" s="212" t="s">
        <v>45</v>
      </c>
      <c r="C30" s="212"/>
      <c r="D30" s="138"/>
      <c r="E30" s="138"/>
      <c r="F30" s="138"/>
      <c r="G30" s="138"/>
      <c r="H30" s="138"/>
      <c r="I30" s="214"/>
      <c r="K30" s="225"/>
      <c r="L30" s="216"/>
      <c r="M30" s="216"/>
      <c r="N30" s="216"/>
      <c r="O30" s="216"/>
      <c r="P30" s="216"/>
      <c r="Q30" s="217"/>
    </row>
    <row r="31" spans="2:17" s="199" customFormat="1">
      <c r="B31" s="209" t="s">
        <v>46</v>
      </c>
      <c r="C31" s="209"/>
      <c r="D31" s="220"/>
      <c r="E31" s="220"/>
      <c r="F31" s="220" t="s">
        <v>44</v>
      </c>
      <c r="G31" s="220"/>
      <c r="H31" s="138"/>
      <c r="I31" s="221"/>
      <c r="J31" s="207"/>
      <c r="K31" s="222"/>
      <c r="L31" s="223"/>
      <c r="M31" s="223"/>
      <c r="N31" s="223" t="s">
        <v>44</v>
      </c>
      <c r="O31" s="223"/>
      <c r="P31" s="216"/>
      <c r="Q31" s="224"/>
    </row>
    <row r="32" spans="2:17">
      <c r="B32" s="212" t="s">
        <v>47</v>
      </c>
      <c r="C32" s="213">
        <v>3280</v>
      </c>
      <c r="D32" s="138">
        <v>40422</v>
      </c>
      <c r="E32" s="138">
        <v>47751</v>
      </c>
      <c r="F32" s="138">
        <v>115415</v>
      </c>
      <c r="G32" s="138">
        <v>52222</v>
      </c>
      <c r="H32" s="138">
        <v>123656</v>
      </c>
      <c r="I32" s="214">
        <v>92550</v>
      </c>
      <c r="K32" s="215">
        <f t="shared" ref="K32" si="20">C32/K$3</f>
        <v>961.87683284457478</v>
      </c>
      <c r="L32" s="216">
        <f t="shared" ref="L32:L37" si="21">D32/L$3</f>
        <v>13519.0635451505</v>
      </c>
      <c r="M32" s="216">
        <f t="shared" ref="M32:M37" si="22">E32/M$3</f>
        <v>17078.326180257511</v>
      </c>
      <c r="N32" s="216">
        <f t="shared" ref="N32:N37" si="23">F32/N$3</f>
        <v>45243.041944335549</v>
      </c>
      <c r="O32" s="216">
        <f t="shared" ref="O32:O37" si="24">G32/O$3</f>
        <v>19362.99592139414</v>
      </c>
      <c r="P32" s="216">
        <f t="shared" ref="P32:P37" si="25">H32/P$3</f>
        <v>44021.359914560337</v>
      </c>
      <c r="Q32" s="217">
        <f t="shared" ref="Q32:Q37" si="26">I32/Q$3</f>
        <v>32013.144240747148</v>
      </c>
    </row>
    <row r="33" spans="2:17">
      <c r="B33" s="212" t="s">
        <v>48</v>
      </c>
      <c r="C33" s="213">
        <v>559655</v>
      </c>
      <c r="D33" s="138">
        <v>542062</v>
      </c>
      <c r="E33" s="138">
        <v>628381</v>
      </c>
      <c r="F33" s="138">
        <v>350252</v>
      </c>
      <c r="G33" s="138">
        <v>256242</v>
      </c>
      <c r="H33" s="138">
        <v>228707</v>
      </c>
      <c r="I33" s="214">
        <v>154722</v>
      </c>
      <c r="K33" s="215">
        <f t="shared" ref="K33:K37" si="27">C33/K$3</f>
        <v>164121.70087976538</v>
      </c>
      <c r="L33" s="216">
        <f t="shared" si="21"/>
        <v>181291.6387959866</v>
      </c>
      <c r="M33" s="216">
        <f t="shared" si="22"/>
        <v>224742.8469241774</v>
      </c>
      <c r="N33" s="216">
        <f t="shared" si="23"/>
        <v>137299.88239905919</v>
      </c>
      <c r="O33" s="216">
        <f t="shared" si="24"/>
        <v>95010.011123470525</v>
      </c>
      <c r="P33" s="216">
        <f t="shared" si="25"/>
        <v>81419.366322534712</v>
      </c>
      <c r="Q33" s="217">
        <f t="shared" si="26"/>
        <v>53518.505707367694</v>
      </c>
    </row>
    <row r="34" spans="2:17">
      <c r="B34" s="212" t="s">
        <v>49</v>
      </c>
      <c r="C34" s="213">
        <v>81045</v>
      </c>
      <c r="D34" s="138">
        <v>102696</v>
      </c>
      <c r="E34" s="138">
        <v>36559</v>
      </c>
      <c r="F34" s="138">
        <v>96861</v>
      </c>
      <c r="G34" s="138">
        <v>94319</v>
      </c>
      <c r="H34" s="138">
        <v>72198</v>
      </c>
      <c r="I34" s="214">
        <v>26390</v>
      </c>
      <c r="K34" s="215">
        <f t="shared" si="27"/>
        <v>23766.862170087974</v>
      </c>
      <c r="L34" s="216">
        <f t="shared" si="21"/>
        <v>34346.488294314382</v>
      </c>
      <c r="M34" s="216">
        <f t="shared" si="22"/>
        <v>13075.46494992847</v>
      </c>
      <c r="N34" s="216">
        <f t="shared" si="23"/>
        <v>37969.815758526063</v>
      </c>
      <c r="O34" s="216">
        <f t="shared" si="24"/>
        <v>34971.820541342233</v>
      </c>
      <c r="P34" s="216">
        <f t="shared" si="25"/>
        <v>25702.385190459237</v>
      </c>
      <c r="Q34" s="217">
        <f t="shared" si="26"/>
        <v>9128.3292978208228</v>
      </c>
    </row>
    <row r="35" spans="2:17">
      <c r="B35" s="212" t="s">
        <v>50</v>
      </c>
      <c r="C35" s="213"/>
      <c r="D35" s="138">
        <v>11687</v>
      </c>
      <c r="E35" s="138">
        <v>199</v>
      </c>
      <c r="F35" s="138">
        <v>16298</v>
      </c>
      <c r="G35" s="138">
        <v>13874</v>
      </c>
      <c r="H35" s="138">
        <v>11894</v>
      </c>
      <c r="I35" s="214">
        <v>30629</v>
      </c>
      <c r="K35" s="215">
        <f t="shared" si="27"/>
        <v>0</v>
      </c>
      <c r="L35" s="216">
        <f t="shared" si="21"/>
        <v>3908.6956521739125</v>
      </c>
      <c r="M35" s="216">
        <f t="shared" si="22"/>
        <v>71.173104434907017</v>
      </c>
      <c r="N35" s="216">
        <f t="shared" si="23"/>
        <v>6388.867110936887</v>
      </c>
      <c r="O35" s="216">
        <f t="shared" si="24"/>
        <v>5144.2343344456804</v>
      </c>
      <c r="P35" s="216">
        <f t="shared" si="25"/>
        <v>4234.2470630117477</v>
      </c>
      <c r="Q35" s="217">
        <f t="shared" si="26"/>
        <v>10594.603943272225</v>
      </c>
    </row>
    <row r="36" spans="2:17">
      <c r="B36" s="212" t="s">
        <v>51</v>
      </c>
      <c r="C36" s="213">
        <v>174241</v>
      </c>
      <c r="D36" s="138">
        <v>149375</v>
      </c>
      <c r="E36" s="138">
        <v>104559</v>
      </c>
      <c r="F36" s="138">
        <v>152411</v>
      </c>
      <c r="G36" s="138">
        <v>134527</v>
      </c>
      <c r="H36" s="138">
        <v>114876</v>
      </c>
      <c r="I36" s="214">
        <v>103826</v>
      </c>
      <c r="K36" s="215">
        <f t="shared" si="27"/>
        <v>51097.067448680347</v>
      </c>
      <c r="L36" s="216">
        <f t="shared" si="21"/>
        <v>49958.193979933108</v>
      </c>
      <c r="M36" s="216">
        <f t="shared" si="22"/>
        <v>37395.922746781122</v>
      </c>
      <c r="N36" s="216">
        <f t="shared" si="23"/>
        <v>59745.589964719715</v>
      </c>
      <c r="O36" s="216">
        <f t="shared" si="24"/>
        <v>49880.237300704488</v>
      </c>
      <c r="P36" s="216">
        <f t="shared" si="25"/>
        <v>40895.692417230326</v>
      </c>
      <c r="Q36" s="217">
        <f t="shared" si="26"/>
        <v>35913.524731926671</v>
      </c>
    </row>
    <row r="37" spans="2:17">
      <c r="B37" s="212" t="s">
        <v>52</v>
      </c>
      <c r="C37" s="213">
        <v>23562</v>
      </c>
      <c r="D37" s="138">
        <v>39622</v>
      </c>
      <c r="E37" s="138">
        <v>11126</v>
      </c>
      <c r="F37" s="138">
        <v>9152</v>
      </c>
      <c r="G37" s="138">
        <v>6140</v>
      </c>
      <c r="H37" s="138">
        <v>6568</v>
      </c>
      <c r="I37" s="214">
        <v>0</v>
      </c>
      <c r="K37" s="215">
        <f t="shared" si="27"/>
        <v>6909.6774193548381</v>
      </c>
      <c r="L37" s="216">
        <f t="shared" si="21"/>
        <v>13251.505016722407</v>
      </c>
      <c r="M37" s="216">
        <f t="shared" si="22"/>
        <v>3979.2560801144496</v>
      </c>
      <c r="N37" s="216">
        <f t="shared" si="23"/>
        <v>3587.6127009016068</v>
      </c>
      <c r="O37" s="216">
        <f t="shared" si="24"/>
        <v>2276.6036336670372</v>
      </c>
      <c r="P37" s="216">
        <f t="shared" si="25"/>
        <v>2338.1986472054109</v>
      </c>
      <c r="Q37" s="217">
        <f t="shared" si="26"/>
        <v>0</v>
      </c>
    </row>
    <row r="38" spans="2:17" s="199" customFormat="1">
      <c r="B38" s="209" t="s">
        <v>53</v>
      </c>
      <c r="C38" s="219">
        <f>+SUM(C32:C37)</f>
        <v>841783</v>
      </c>
      <c r="D38" s="220">
        <f>+SUM(D32:D37)</f>
        <v>885864</v>
      </c>
      <c r="E38" s="220">
        <f t="shared" ref="E38:I38" si="28">+SUM(E32:E37)</f>
        <v>828575</v>
      </c>
      <c r="F38" s="220">
        <f t="shared" si="28"/>
        <v>740389</v>
      </c>
      <c r="G38" s="220">
        <f t="shared" si="28"/>
        <v>557324</v>
      </c>
      <c r="H38" s="220">
        <f t="shared" si="28"/>
        <v>557899</v>
      </c>
      <c r="I38" s="221">
        <f t="shared" si="28"/>
        <v>408117</v>
      </c>
      <c r="J38" s="207"/>
      <c r="K38" s="222">
        <f>+SUM(K32:K37)</f>
        <v>246857.18475073314</v>
      </c>
      <c r="L38" s="223">
        <f>+SUM(L32:L37)</f>
        <v>296275.58528428094</v>
      </c>
      <c r="M38" s="223">
        <f t="shared" ref="M38:Q38" si="29">+SUM(M32:M37)</f>
        <v>296342.98998569389</v>
      </c>
      <c r="N38" s="223">
        <f t="shared" si="29"/>
        <v>290234.80987847905</v>
      </c>
      <c r="O38" s="223">
        <f t="shared" si="29"/>
        <v>206645.90285502412</v>
      </c>
      <c r="P38" s="223">
        <f t="shared" si="29"/>
        <v>198611.24955500176</v>
      </c>
      <c r="Q38" s="224">
        <f t="shared" si="29"/>
        <v>141168.10792113456</v>
      </c>
    </row>
    <row r="39" spans="2:17" s="199" customFormat="1">
      <c r="B39" s="209"/>
      <c r="C39" s="219"/>
      <c r="D39" s="220"/>
      <c r="E39" s="220"/>
      <c r="F39" s="220"/>
      <c r="G39" s="220"/>
      <c r="H39" s="220"/>
      <c r="I39" s="221"/>
      <c r="J39" s="207"/>
      <c r="K39" s="226"/>
      <c r="L39" s="223"/>
      <c r="M39" s="223"/>
      <c r="N39" s="223"/>
      <c r="O39" s="223"/>
      <c r="P39" s="223"/>
      <c r="Q39" s="224"/>
    </row>
    <row r="40" spans="2:17" s="199" customFormat="1">
      <c r="B40" s="209" t="s">
        <v>701</v>
      </c>
      <c r="C40" s="219"/>
      <c r="D40" s="220"/>
      <c r="E40" s="220"/>
      <c r="F40" s="220"/>
      <c r="G40" s="220"/>
      <c r="H40" s="138" t="s">
        <v>44</v>
      </c>
      <c r="I40" s="221"/>
      <c r="J40" s="207"/>
      <c r="K40" s="226"/>
      <c r="L40" s="223"/>
      <c r="M40" s="223"/>
      <c r="N40" s="223"/>
      <c r="O40" s="223"/>
      <c r="P40" s="216" t="s">
        <v>44</v>
      </c>
      <c r="Q40" s="224"/>
    </row>
    <row r="41" spans="2:17">
      <c r="B41" s="212" t="s">
        <v>47</v>
      </c>
      <c r="C41" s="213">
        <v>1976486</v>
      </c>
      <c r="D41" s="138">
        <v>1739200</v>
      </c>
      <c r="E41" s="138">
        <v>1649377</v>
      </c>
      <c r="F41" s="138">
        <v>974546</v>
      </c>
      <c r="G41" s="138">
        <v>1048648</v>
      </c>
      <c r="H41" s="138">
        <v>392722</v>
      </c>
      <c r="I41" s="214">
        <v>343700</v>
      </c>
      <c r="K41" s="215">
        <f t="shared" ref="K41" si="30">C41/K$3</f>
        <v>579614.66275659821</v>
      </c>
      <c r="L41" s="216">
        <f t="shared" ref="L41:L45" si="31">D41/L$3</f>
        <v>581672.24080267549</v>
      </c>
      <c r="M41" s="216">
        <f t="shared" ref="M41:M45" si="32">E41/M$3</f>
        <v>589905.9370529328</v>
      </c>
      <c r="N41" s="216">
        <f t="shared" ref="N41:N45" si="33">F41/N$3</f>
        <v>382025.08820070559</v>
      </c>
      <c r="O41" s="216">
        <f t="shared" ref="O41:O45" si="34">G41/O$3</f>
        <v>388820.17055988131</v>
      </c>
      <c r="P41" s="216">
        <f t="shared" ref="P41:P45" si="35">H41/P$3</f>
        <v>139808.47276610893</v>
      </c>
      <c r="Q41" s="217">
        <f t="shared" ref="Q41:Q45" si="36">I41/Q$3</f>
        <v>118886.19854721549</v>
      </c>
    </row>
    <row r="42" spans="2:17">
      <c r="B42" s="212" t="s">
        <v>49</v>
      </c>
      <c r="C42" s="213">
        <v>70008</v>
      </c>
      <c r="D42" s="138">
        <v>77410</v>
      </c>
      <c r="E42" s="138">
        <v>0</v>
      </c>
      <c r="F42" s="138">
        <v>0</v>
      </c>
      <c r="G42" s="138">
        <v>0</v>
      </c>
      <c r="H42" s="138">
        <v>0</v>
      </c>
      <c r="I42" s="214">
        <v>0</v>
      </c>
      <c r="K42" s="215">
        <f t="shared" ref="K42:K45" si="37">C42/K$3</f>
        <v>20530.205278592373</v>
      </c>
      <c r="L42" s="216">
        <f t="shared" si="31"/>
        <v>25889.632107023408</v>
      </c>
      <c r="M42" s="216">
        <f t="shared" si="32"/>
        <v>0</v>
      </c>
      <c r="N42" s="216">
        <f t="shared" si="33"/>
        <v>0</v>
      </c>
      <c r="O42" s="216">
        <f t="shared" si="34"/>
        <v>0</v>
      </c>
      <c r="P42" s="216">
        <f t="shared" si="35"/>
        <v>0</v>
      </c>
      <c r="Q42" s="217">
        <f t="shared" si="36"/>
        <v>0</v>
      </c>
    </row>
    <row r="43" spans="2:17">
      <c r="B43" s="212" t="s">
        <v>52</v>
      </c>
      <c r="C43" s="213"/>
      <c r="D43" s="138">
        <v>0</v>
      </c>
      <c r="E43" s="138">
        <v>3553</v>
      </c>
      <c r="F43" s="138">
        <v>1773</v>
      </c>
      <c r="G43" s="138">
        <v>2098</v>
      </c>
      <c r="H43" s="138">
        <v>4195</v>
      </c>
      <c r="I43" s="214">
        <v>0</v>
      </c>
      <c r="K43" s="215">
        <f t="shared" si="37"/>
        <v>0</v>
      </c>
      <c r="L43" s="216">
        <f t="shared" si="31"/>
        <v>0</v>
      </c>
      <c r="M43" s="216">
        <f t="shared" si="32"/>
        <v>1270.7439198855509</v>
      </c>
      <c r="N43" s="216">
        <f t="shared" si="33"/>
        <v>695.02156017248137</v>
      </c>
      <c r="O43" s="216">
        <f t="shared" si="34"/>
        <v>777.90137189469783</v>
      </c>
      <c r="P43" s="216">
        <f t="shared" si="35"/>
        <v>1493.4140263438946</v>
      </c>
      <c r="Q43" s="217">
        <f t="shared" si="36"/>
        <v>0</v>
      </c>
    </row>
    <row r="44" spans="2:17">
      <c r="B44" s="212" t="s">
        <v>51</v>
      </c>
      <c r="C44" s="213">
        <v>6496</v>
      </c>
      <c r="D44" s="138">
        <v>17062</v>
      </c>
      <c r="E44" s="138">
        <v>7500</v>
      </c>
      <c r="F44" s="138">
        <v>0</v>
      </c>
      <c r="G44" s="138">
        <v>0</v>
      </c>
      <c r="H44" s="138">
        <v>0</v>
      </c>
      <c r="I44" s="214">
        <v>0</v>
      </c>
      <c r="K44" s="215">
        <f t="shared" si="37"/>
        <v>1904.9853372434018</v>
      </c>
      <c r="L44" s="216">
        <f t="shared" si="31"/>
        <v>5706.3545150501668</v>
      </c>
      <c r="M44" s="216">
        <f t="shared" si="32"/>
        <v>2682.4034334763951</v>
      </c>
      <c r="N44" s="216">
        <f t="shared" si="33"/>
        <v>0</v>
      </c>
      <c r="O44" s="216">
        <f t="shared" si="34"/>
        <v>0</v>
      </c>
      <c r="P44" s="216">
        <f t="shared" si="35"/>
        <v>0</v>
      </c>
      <c r="Q44" s="217">
        <f t="shared" si="36"/>
        <v>0</v>
      </c>
    </row>
    <row r="45" spans="2:17">
      <c r="B45" s="212" t="s">
        <v>54</v>
      </c>
      <c r="C45" s="213"/>
      <c r="D45" s="138">
        <v>11577</v>
      </c>
      <c r="E45" s="138">
        <v>68978</v>
      </c>
      <c r="F45" s="138">
        <v>42473</v>
      </c>
      <c r="G45" s="138">
        <v>35102</v>
      </c>
      <c r="H45" s="138">
        <v>58855</v>
      </c>
      <c r="I45" s="214">
        <v>31649</v>
      </c>
      <c r="K45" s="215">
        <f t="shared" si="37"/>
        <v>0</v>
      </c>
      <c r="L45" s="216">
        <f t="shared" si="31"/>
        <v>3871.9063545150498</v>
      </c>
      <c r="M45" s="216">
        <f t="shared" si="32"/>
        <v>24670.243204577971</v>
      </c>
      <c r="N45" s="216">
        <f t="shared" si="33"/>
        <v>16649.549196393571</v>
      </c>
      <c r="O45" s="216">
        <f t="shared" si="34"/>
        <v>13015.202076381163</v>
      </c>
      <c r="P45" s="216">
        <f t="shared" si="35"/>
        <v>20952.296190815236</v>
      </c>
      <c r="Q45" s="217">
        <f t="shared" si="36"/>
        <v>10947.423037011415</v>
      </c>
    </row>
    <row r="46" spans="2:17" s="199" customFormat="1">
      <c r="B46" s="209" t="s">
        <v>55</v>
      </c>
      <c r="C46" s="219">
        <f>+SUM(C41:C45)</f>
        <v>2052990</v>
      </c>
      <c r="D46" s="220">
        <f>+SUM(D41:D45)</f>
        <v>1845249</v>
      </c>
      <c r="E46" s="220">
        <f t="shared" ref="E46:I46" si="38">+SUM(E41:E45)</f>
        <v>1729408</v>
      </c>
      <c r="F46" s="220">
        <f t="shared" si="38"/>
        <v>1018792</v>
      </c>
      <c r="G46" s="220">
        <f t="shared" si="38"/>
        <v>1085848</v>
      </c>
      <c r="H46" s="220">
        <f t="shared" si="38"/>
        <v>455772</v>
      </c>
      <c r="I46" s="221">
        <f t="shared" si="38"/>
        <v>375349</v>
      </c>
      <c r="J46" s="207"/>
      <c r="K46" s="222">
        <f>+SUM(K41:K45)</f>
        <v>602049.85337243404</v>
      </c>
      <c r="L46" s="223">
        <f>+SUM(L41:L45)</f>
        <v>617140.13377926406</v>
      </c>
      <c r="M46" s="223">
        <f t="shared" ref="M46:Q46" si="39">+SUM(M41:M45)</f>
        <v>618529.32761087269</v>
      </c>
      <c r="N46" s="223">
        <f t="shared" si="39"/>
        <v>399369.65895727166</v>
      </c>
      <c r="O46" s="223">
        <f t="shared" si="39"/>
        <v>402613.2740081572</v>
      </c>
      <c r="P46" s="223">
        <f t="shared" si="39"/>
        <v>162254.18298326805</v>
      </c>
      <c r="Q46" s="224">
        <f t="shared" si="39"/>
        <v>129833.6215842269</v>
      </c>
    </row>
    <row r="47" spans="2:17" s="199" customFormat="1">
      <c r="B47" s="209" t="s">
        <v>56</v>
      </c>
      <c r="C47" s="219">
        <f>+C46+C38</f>
        <v>2894773</v>
      </c>
      <c r="D47" s="220">
        <f>+D46+D38</f>
        <v>2731113</v>
      </c>
      <c r="E47" s="220">
        <f t="shared" ref="E47:I47" si="40">+E46+E38</f>
        <v>2557983</v>
      </c>
      <c r="F47" s="220">
        <f t="shared" si="40"/>
        <v>1759181</v>
      </c>
      <c r="G47" s="220">
        <f t="shared" si="40"/>
        <v>1643172</v>
      </c>
      <c r="H47" s="220">
        <f t="shared" si="40"/>
        <v>1013671</v>
      </c>
      <c r="I47" s="221">
        <f t="shared" si="40"/>
        <v>783466</v>
      </c>
      <c r="J47" s="207"/>
      <c r="K47" s="222">
        <f>+K46+K38</f>
        <v>848907.03812316712</v>
      </c>
      <c r="L47" s="223">
        <f>+L46+L38</f>
        <v>913415.719063545</v>
      </c>
      <c r="M47" s="223">
        <f t="shared" ref="M47:Q47" si="41">+M46+M38</f>
        <v>914872.31759656663</v>
      </c>
      <c r="N47" s="223">
        <f t="shared" si="41"/>
        <v>689604.46883575071</v>
      </c>
      <c r="O47" s="223">
        <f t="shared" si="41"/>
        <v>609259.17686318129</v>
      </c>
      <c r="P47" s="223">
        <f t="shared" si="41"/>
        <v>360865.43253826979</v>
      </c>
      <c r="Q47" s="224">
        <f t="shared" si="41"/>
        <v>271001.72950536147</v>
      </c>
    </row>
    <row r="48" spans="2:17">
      <c r="B48" s="212"/>
      <c r="C48" s="213"/>
      <c r="D48" s="138"/>
      <c r="E48" s="138"/>
      <c r="F48" s="138" t="s">
        <v>44</v>
      </c>
      <c r="G48" s="138"/>
      <c r="H48" s="138"/>
      <c r="I48" s="214"/>
      <c r="K48" s="225"/>
      <c r="L48" s="216"/>
      <c r="M48" s="216"/>
      <c r="N48" s="216" t="s">
        <v>44</v>
      </c>
      <c r="O48" s="216"/>
      <c r="P48" s="216"/>
      <c r="Q48" s="217"/>
    </row>
    <row r="49" spans="2:17">
      <c r="B49" s="209" t="s">
        <v>57</v>
      </c>
      <c r="C49" s="219"/>
      <c r="D49" s="138"/>
      <c r="E49" s="138"/>
      <c r="F49" s="138"/>
      <c r="G49" s="138"/>
      <c r="H49" s="138"/>
      <c r="I49" s="214"/>
      <c r="J49" s="207"/>
      <c r="K49" s="226"/>
      <c r="L49" s="216"/>
      <c r="M49" s="216"/>
      <c r="N49" s="216"/>
      <c r="O49" s="216"/>
      <c r="P49" s="216"/>
      <c r="Q49" s="217"/>
    </row>
    <row r="50" spans="2:17">
      <c r="B50" s="212" t="s">
        <v>58</v>
      </c>
      <c r="C50" s="213">
        <v>580981</v>
      </c>
      <c r="D50" s="138">
        <v>580981</v>
      </c>
      <c r="E50" s="138">
        <v>580981</v>
      </c>
      <c r="F50" s="138">
        <v>580981</v>
      </c>
      <c r="G50" s="138">
        <v>580981</v>
      </c>
      <c r="H50" s="138">
        <v>580981</v>
      </c>
      <c r="I50" s="214">
        <v>580981</v>
      </c>
      <c r="K50" s="215">
        <f t="shared" ref="K50" si="42">C50/K$3</f>
        <v>170375.65982404692</v>
      </c>
      <c r="L50" s="216">
        <f t="shared" ref="L50:L56" si="43">D50/L$3</f>
        <v>194308.02675585283</v>
      </c>
      <c r="M50" s="216">
        <f t="shared" ref="M50:M56" si="44">E50/M$3</f>
        <v>207790.0572246066</v>
      </c>
      <c r="N50" s="216">
        <f t="shared" ref="N50:N56" si="45">F50/N$3</f>
        <v>227746.37397099176</v>
      </c>
      <c r="O50" s="216">
        <f t="shared" ref="O50:O56" si="46">G50/O$3</f>
        <v>215417.50092695586</v>
      </c>
      <c r="P50" s="216">
        <f t="shared" ref="P50:P56" si="47">H50/P$3</f>
        <v>206828.40868636523</v>
      </c>
      <c r="Q50" s="217">
        <f t="shared" ref="Q50:Q56" si="48">I50/Q$3</f>
        <v>200961.95088204773</v>
      </c>
    </row>
    <row r="51" spans="2:17">
      <c r="B51" s="212" t="s">
        <v>59</v>
      </c>
      <c r="C51" s="213">
        <v>71523</v>
      </c>
      <c r="D51" s="138">
        <v>71966</v>
      </c>
      <c r="E51" s="138">
        <v>71966</v>
      </c>
      <c r="F51" s="138">
        <v>71966</v>
      </c>
      <c r="G51" s="138">
        <v>71966</v>
      </c>
      <c r="H51" s="138">
        <v>71966</v>
      </c>
      <c r="I51" s="214">
        <v>71966</v>
      </c>
      <c r="K51" s="215">
        <f t="shared" ref="K51:K56" si="49">C51/K$3</f>
        <v>20974.486803519059</v>
      </c>
      <c r="L51" s="216">
        <f t="shared" si="43"/>
        <v>24068.896321070231</v>
      </c>
      <c r="M51" s="216">
        <f t="shared" si="44"/>
        <v>25738.912732474964</v>
      </c>
      <c r="N51" s="216">
        <f t="shared" si="45"/>
        <v>28210.897687181496</v>
      </c>
      <c r="O51" s="216">
        <f t="shared" si="46"/>
        <v>26683.72265480163</v>
      </c>
      <c r="P51" s="216">
        <f t="shared" si="47"/>
        <v>25619.793520825915</v>
      </c>
      <c r="Q51" s="217">
        <f t="shared" si="48"/>
        <v>24893.116568661364</v>
      </c>
    </row>
    <row r="52" spans="2:17">
      <c r="B52" s="212" t="s">
        <v>60</v>
      </c>
      <c r="C52" s="213">
        <v>16168</v>
      </c>
      <c r="D52" s="138">
        <v>16168</v>
      </c>
      <c r="E52" s="138">
        <v>16168</v>
      </c>
      <c r="F52" s="138">
        <v>16168</v>
      </c>
      <c r="G52" s="138">
        <v>4450</v>
      </c>
      <c r="H52" s="138">
        <v>4450</v>
      </c>
      <c r="I52" s="214">
        <v>4450</v>
      </c>
      <c r="K52" s="215">
        <f t="shared" si="49"/>
        <v>4741.3489736070378</v>
      </c>
      <c r="L52" s="216">
        <f t="shared" si="43"/>
        <v>5407.3578595317722</v>
      </c>
      <c r="M52" s="216">
        <f t="shared" si="44"/>
        <v>5782.5464949928473</v>
      </c>
      <c r="N52" s="216">
        <f t="shared" si="45"/>
        <v>6337.9067032536259</v>
      </c>
      <c r="O52" s="216">
        <f t="shared" si="46"/>
        <v>1649.981460882462</v>
      </c>
      <c r="P52" s="216">
        <f t="shared" si="47"/>
        <v>1584.1936632253471</v>
      </c>
      <c r="Q52" s="217">
        <f t="shared" si="48"/>
        <v>1539.2597717052922</v>
      </c>
    </row>
    <row r="53" spans="2:17">
      <c r="B53" s="212" t="s">
        <v>61</v>
      </c>
      <c r="C53" s="213">
        <v>19350</v>
      </c>
      <c r="D53" s="138">
        <v>-17078</v>
      </c>
      <c r="E53" s="138">
        <v>-9289</v>
      </c>
      <c r="F53" s="138">
        <v>-1971</v>
      </c>
      <c r="G53" s="138">
        <v>11313</v>
      </c>
      <c r="H53" s="138">
        <v>0</v>
      </c>
      <c r="I53" s="214">
        <v>0</v>
      </c>
      <c r="K53" s="215">
        <f t="shared" si="49"/>
        <v>5674.4868035190611</v>
      </c>
      <c r="L53" s="216">
        <f t="shared" si="43"/>
        <v>-5711.7056856187282</v>
      </c>
      <c r="M53" s="216">
        <f t="shared" si="44"/>
        <v>-3322.2460658082978</v>
      </c>
      <c r="N53" s="216">
        <f t="shared" si="45"/>
        <v>-772.63818110544878</v>
      </c>
      <c r="O53" s="216">
        <f t="shared" si="46"/>
        <v>4194.6607341490544</v>
      </c>
      <c r="P53" s="216">
        <f t="shared" si="47"/>
        <v>0</v>
      </c>
      <c r="Q53" s="217">
        <f t="shared" si="48"/>
        <v>0</v>
      </c>
    </row>
    <row r="54" spans="2:17">
      <c r="B54" s="212" t="s">
        <v>62</v>
      </c>
      <c r="C54" s="213"/>
      <c r="D54" s="138">
        <v>0</v>
      </c>
      <c r="E54" s="138">
        <v>0</v>
      </c>
      <c r="F54" s="138">
        <v>0</v>
      </c>
      <c r="G54" s="138">
        <v>0</v>
      </c>
      <c r="H54" s="138">
        <v>35130</v>
      </c>
      <c r="I54" s="214">
        <v>14535</v>
      </c>
      <c r="K54" s="215">
        <f t="shared" si="49"/>
        <v>0</v>
      </c>
      <c r="L54" s="216">
        <f t="shared" si="43"/>
        <v>0</v>
      </c>
      <c r="M54" s="216">
        <f t="shared" si="44"/>
        <v>0</v>
      </c>
      <c r="N54" s="216">
        <f t="shared" si="45"/>
        <v>0</v>
      </c>
      <c r="O54" s="216">
        <f t="shared" si="46"/>
        <v>0</v>
      </c>
      <c r="P54" s="216">
        <f t="shared" si="47"/>
        <v>12506.229975080099</v>
      </c>
      <c r="Q54" s="217">
        <f t="shared" si="48"/>
        <v>5027.6720857834662</v>
      </c>
    </row>
    <row r="55" spans="2:17">
      <c r="B55" s="212" t="s">
        <v>63</v>
      </c>
      <c r="C55" s="213">
        <v>-105250</v>
      </c>
      <c r="D55" s="138">
        <v>-16708</v>
      </c>
      <c r="E55" s="138">
        <v>-19507</v>
      </c>
      <c r="F55" s="138">
        <v>105125</v>
      </c>
      <c r="G55" s="138">
        <v>41547</v>
      </c>
      <c r="H55" s="138">
        <v>-4164</v>
      </c>
      <c r="I55" s="214">
        <v>-144539</v>
      </c>
      <c r="K55" s="215">
        <f>C55/K$3</f>
        <v>-30865.102639296187</v>
      </c>
      <c r="L55" s="216">
        <f t="shared" si="43"/>
        <v>-5587.9598662207354</v>
      </c>
      <c r="M55" s="216">
        <f t="shared" si="44"/>
        <v>-6976.7525035765384</v>
      </c>
      <c r="N55" s="216">
        <f t="shared" si="45"/>
        <v>41209.329674637396</v>
      </c>
      <c r="O55" s="216">
        <f t="shared" si="46"/>
        <v>15404.894327030033</v>
      </c>
      <c r="P55" s="216">
        <f t="shared" si="47"/>
        <v>-1482.3780704877179</v>
      </c>
      <c r="Q55" s="217">
        <f t="shared" si="48"/>
        <v>-49996.195088204775</v>
      </c>
    </row>
    <row r="56" spans="2:17">
      <c r="B56" s="212" t="s">
        <v>700</v>
      </c>
      <c r="C56" s="213">
        <v>801</v>
      </c>
      <c r="D56" s="138">
        <v>550</v>
      </c>
      <c r="E56" s="138">
        <v>493</v>
      </c>
      <c r="F56" s="138">
        <v>512</v>
      </c>
      <c r="G56" s="138">
        <v>480</v>
      </c>
      <c r="H56" s="138">
        <v>479</v>
      </c>
      <c r="I56" s="214">
        <v>536</v>
      </c>
      <c r="K56" s="215">
        <f t="shared" si="49"/>
        <v>234.8973607038123</v>
      </c>
      <c r="L56" s="216">
        <f t="shared" si="43"/>
        <v>183.94648829431438</v>
      </c>
      <c r="M56" s="216">
        <f t="shared" si="44"/>
        <v>176.3233190271817</v>
      </c>
      <c r="N56" s="216">
        <f t="shared" si="45"/>
        <v>200.70560564484515</v>
      </c>
      <c r="O56" s="216">
        <f t="shared" si="46"/>
        <v>177.97552836484982</v>
      </c>
      <c r="P56" s="216">
        <f t="shared" si="47"/>
        <v>170.52331790672835</v>
      </c>
      <c r="Q56" s="217">
        <f t="shared" si="48"/>
        <v>185.40297474922173</v>
      </c>
    </row>
    <row r="57" spans="2:17" s="199" customFormat="1">
      <c r="B57" s="209" t="s">
        <v>64</v>
      </c>
      <c r="C57" s="219">
        <f>+SUM(C50:C56)</f>
        <v>583573</v>
      </c>
      <c r="D57" s="220">
        <f>+SUM(D50:D56)</f>
        <v>635879</v>
      </c>
      <c r="E57" s="220">
        <f t="shared" ref="E57:I57" si="50">+SUM(E50:E56)</f>
        <v>640812</v>
      </c>
      <c r="F57" s="220">
        <f t="shared" si="50"/>
        <v>772781</v>
      </c>
      <c r="G57" s="220">
        <f t="shared" si="50"/>
        <v>710737</v>
      </c>
      <c r="H57" s="220">
        <f t="shared" si="50"/>
        <v>688842</v>
      </c>
      <c r="I57" s="221">
        <f t="shared" si="50"/>
        <v>527929</v>
      </c>
      <c r="J57" s="207"/>
      <c r="K57" s="222">
        <f>+SUM(K50:K56)</f>
        <v>171135.77712609971</v>
      </c>
      <c r="L57" s="223">
        <f>+SUM(L50:L56)</f>
        <v>212668.56187290966</v>
      </c>
      <c r="M57" s="223">
        <f t="shared" ref="M57:Q57" si="51">+SUM(M50:M56)</f>
        <v>229188.84120171677</v>
      </c>
      <c r="N57" s="223">
        <f t="shared" si="51"/>
        <v>302932.57546060364</v>
      </c>
      <c r="O57" s="223">
        <f t="shared" si="51"/>
        <v>263528.73563218385</v>
      </c>
      <c r="P57" s="223">
        <f t="shared" si="51"/>
        <v>245226.77109291556</v>
      </c>
      <c r="Q57" s="224">
        <f t="shared" si="51"/>
        <v>182611.20719474228</v>
      </c>
    </row>
    <row r="58" spans="2:17" s="199" customFormat="1">
      <c r="B58" s="227" t="s">
        <v>65</v>
      </c>
      <c r="C58" s="228">
        <f>+C57+C47</f>
        <v>3478346</v>
      </c>
      <c r="D58" s="229">
        <f>+D57+D47</f>
        <v>3366992</v>
      </c>
      <c r="E58" s="229">
        <f t="shared" ref="E58:I58" si="52">+E57+E47</f>
        <v>3198795</v>
      </c>
      <c r="F58" s="229">
        <f t="shared" si="52"/>
        <v>2531962</v>
      </c>
      <c r="G58" s="229">
        <f t="shared" si="52"/>
        <v>2353909</v>
      </c>
      <c r="H58" s="229">
        <f t="shared" si="52"/>
        <v>1702513</v>
      </c>
      <c r="I58" s="230">
        <f t="shared" si="52"/>
        <v>1311395</v>
      </c>
      <c r="J58" s="207"/>
      <c r="K58" s="231">
        <f>+K57+K47</f>
        <v>1020042.8152492668</v>
      </c>
      <c r="L58" s="232">
        <f>+L57+L47</f>
        <v>1126084.2809364547</v>
      </c>
      <c r="M58" s="232">
        <f t="shared" ref="M58:Q58" si="53">+M57+M47</f>
        <v>1144061.1587982834</v>
      </c>
      <c r="N58" s="232">
        <f t="shared" si="53"/>
        <v>992537.04429635429</v>
      </c>
      <c r="O58" s="232">
        <f t="shared" si="53"/>
        <v>872787.91249536513</v>
      </c>
      <c r="P58" s="232">
        <f t="shared" si="53"/>
        <v>606092.20363118534</v>
      </c>
      <c r="Q58" s="233">
        <f t="shared" si="53"/>
        <v>453612.93670010375</v>
      </c>
    </row>
    <row r="59" spans="2:17">
      <c r="K59" s="234">
        <f>K58-K27</f>
        <v>0</v>
      </c>
      <c r="L59" s="234">
        <f>L58-L27</f>
        <v>0</v>
      </c>
      <c r="M59" s="234">
        <f t="shared" ref="M59:Q59" si="54">M58-M27</f>
        <v>0</v>
      </c>
      <c r="N59" s="234">
        <f t="shared" si="54"/>
        <v>0</v>
      </c>
      <c r="O59" s="234">
        <f t="shared" si="54"/>
        <v>0</v>
      </c>
      <c r="P59" s="234">
        <f t="shared" si="54"/>
        <v>0</v>
      </c>
      <c r="Q59" s="234">
        <f t="shared" si="54"/>
        <v>0</v>
      </c>
    </row>
    <row r="60" spans="2:17">
      <c r="K60" s="138"/>
      <c r="L60" s="138"/>
      <c r="M60" s="138"/>
      <c r="N60" s="138"/>
      <c r="O60" s="138"/>
      <c r="P60" s="138"/>
      <c r="Q60" s="138"/>
    </row>
    <row r="61" spans="2:17">
      <c r="L61" s="234"/>
      <c r="M61" s="234"/>
      <c r="N61" s="234"/>
      <c r="O61" s="234"/>
      <c r="P61" s="234"/>
      <c r="Q61" s="234"/>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AI71"/>
  <sheetViews>
    <sheetView showGridLines="0" topLeftCell="P13" zoomScale="85" zoomScaleNormal="85" workbookViewId="0">
      <selection activeCell="AA20" sqref="AA20"/>
    </sheetView>
  </sheetViews>
  <sheetFormatPr baseColWidth="10" defaultRowHeight="14.25"/>
  <cols>
    <col min="1" max="1" width="5.7109375" style="155" customWidth="1"/>
    <col min="2" max="2" width="35.85546875" style="155" customWidth="1"/>
    <col min="3" max="3" width="11.5703125" style="155" bestFit="1" customWidth="1"/>
    <col min="4" max="7" width="12.5703125" style="155" bestFit="1" customWidth="1"/>
    <col min="8" max="9" width="11.42578125" style="155"/>
    <col min="10" max="10" width="6.5703125" style="155" customWidth="1"/>
    <col min="11" max="11" width="30.85546875" style="155" customWidth="1"/>
    <col min="12" max="12" width="12.7109375" style="155" bestFit="1" customWidth="1"/>
    <col min="13" max="16" width="12.5703125" style="155" bestFit="1" customWidth="1"/>
    <col min="17" max="17" width="12.5703125" style="155" customWidth="1"/>
    <col min="18" max="18" width="7.5703125" style="155" customWidth="1"/>
    <col min="19" max="19" width="23.5703125" style="155" customWidth="1"/>
    <col min="20" max="25" width="12.7109375" style="155" customWidth="1"/>
    <col min="26" max="16384" width="11.42578125" style="155"/>
  </cols>
  <sheetData>
    <row r="2" spans="2:33" ht="18">
      <c r="B2" s="200" t="s">
        <v>905</v>
      </c>
      <c r="K2" s="310" t="s">
        <v>1390</v>
      </c>
    </row>
    <row r="3" spans="2:33" ht="15">
      <c r="B3" s="548"/>
      <c r="C3" s="898">
        <v>2009</v>
      </c>
      <c r="D3" s="550">
        <v>2010</v>
      </c>
      <c r="E3" s="550">
        <v>2011</v>
      </c>
      <c r="F3" s="550">
        <v>2012</v>
      </c>
      <c r="G3" s="550">
        <v>2013</v>
      </c>
      <c r="H3" s="550">
        <v>2014</v>
      </c>
      <c r="I3" s="551">
        <v>2015</v>
      </c>
      <c r="K3" s="584"/>
      <c r="L3" s="898">
        <v>2010</v>
      </c>
      <c r="M3" s="550">
        <v>2011</v>
      </c>
      <c r="N3" s="550">
        <v>2012</v>
      </c>
      <c r="O3" s="550">
        <v>2013</v>
      </c>
      <c r="P3" s="550">
        <v>2014</v>
      </c>
      <c r="Q3" s="551">
        <v>2015</v>
      </c>
    </row>
    <row r="4" spans="2:33">
      <c r="B4" s="899" t="s">
        <v>906</v>
      </c>
      <c r="C4" s="884">
        <v>1838</v>
      </c>
      <c r="D4" s="880">
        <v>1771</v>
      </c>
      <c r="E4" s="880">
        <v>2044</v>
      </c>
      <c r="F4" s="880">
        <v>3049.5</v>
      </c>
      <c r="G4" s="880">
        <v>2936</v>
      </c>
      <c r="H4" s="880">
        <v>1956</v>
      </c>
      <c r="I4" s="881">
        <v>2711</v>
      </c>
      <c r="J4" s="416"/>
      <c r="K4" s="421" t="s">
        <v>325</v>
      </c>
      <c r="L4" s="900">
        <f>ER!P6</f>
        <v>518819.1527233891</v>
      </c>
      <c r="M4" s="901">
        <f>ER!O6</f>
        <v>609186.13274008152</v>
      </c>
      <c r="N4" s="901">
        <f>ER!N6</f>
        <v>738996.86397491174</v>
      </c>
      <c r="O4" s="901">
        <f>ER!M6</f>
        <v>699553.6480686696</v>
      </c>
      <c r="P4" s="901">
        <f>ER!L6</f>
        <v>677178.26086956519</v>
      </c>
      <c r="Q4" s="902">
        <f>ER!K6</f>
        <v>631469.20821114362</v>
      </c>
    </row>
    <row r="5" spans="2:33">
      <c r="B5" s="899" t="s">
        <v>907</v>
      </c>
      <c r="C5" s="884">
        <v>26117</v>
      </c>
      <c r="D5" s="880">
        <v>40496</v>
      </c>
      <c r="E5" s="880">
        <v>42561</v>
      </c>
      <c r="F5" s="880">
        <v>52906.5</v>
      </c>
      <c r="G5" s="880">
        <v>56244</v>
      </c>
      <c r="H5" s="880">
        <v>63553</v>
      </c>
      <c r="I5" s="881">
        <v>55093</v>
      </c>
      <c r="J5" s="416"/>
      <c r="K5" s="421" t="s">
        <v>327</v>
      </c>
      <c r="L5" s="638">
        <f>ER!P7</f>
        <v>70112.851548593797</v>
      </c>
      <c r="M5" s="870">
        <f>ER!O7</f>
        <v>73363.366703744905</v>
      </c>
      <c r="N5" s="870">
        <f>ER!N7</f>
        <v>113355.54684437475</v>
      </c>
      <c r="O5" s="870">
        <f>ER!M7</f>
        <v>113953.14735336196</v>
      </c>
      <c r="P5" s="870">
        <f>ER!L7</f>
        <v>119877.25752508361</v>
      </c>
      <c r="Q5" s="639">
        <f>ER!K7</f>
        <v>122002.05278592375</v>
      </c>
      <c r="U5" s="457"/>
      <c r="AF5" s="593"/>
      <c r="AG5" s="593"/>
    </row>
    <row r="6" spans="2:33">
      <c r="B6" s="899" t="s">
        <v>908</v>
      </c>
      <c r="C6" s="884">
        <v>4617</v>
      </c>
      <c r="D6" s="880">
        <v>6052</v>
      </c>
      <c r="E6" s="880">
        <v>5024</v>
      </c>
      <c r="F6" s="880">
        <v>7198</v>
      </c>
      <c r="G6" s="880">
        <v>3319</v>
      </c>
      <c r="H6" s="880">
        <v>3811</v>
      </c>
      <c r="I6" s="881">
        <v>5918</v>
      </c>
      <c r="J6" s="416"/>
      <c r="K6" s="421" t="s">
        <v>328</v>
      </c>
      <c r="L6" s="638">
        <f>ER!P8</f>
        <v>64083.30366678533</v>
      </c>
      <c r="M6" s="870">
        <f>ER!O8</f>
        <v>88081.201334816462</v>
      </c>
      <c r="N6" s="870">
        <f>ER!N8</f>
        <v>83265.386123088974</v>
      </c>
      <c r="O6" s="870">
        <f>ER!M8</f>
        <v>77440.6294706724</v>
      </c>
      <c r="P6" s="870">
        <f>ER!L8</f>
        <v>73598.327759197316</v>
      </c>
      <c r="Q6" s="639">
        <f>ER!K8</f>
        <v>67589.149560117294</v>
      </c>
      <c r="U6" s="457"/>
    </row>
    <row r="7" spans="2:33" ht="15">
      <c r="B7" s="552" t="s">
        <v>909</v>
      </c>
      <c r="C7" s="434">
        <v>40523</v>
      </c>
      <c r="D7" s="435">
        <v>76171</v>
      </c>
      <c r="E7" s="435">
        <v>71120</v>
      </c>
      <c r="F7" s="435">
        <v>69053.5</v>
      </c>
      <c r="G7" s="435">
        <v>100727</v>
      </c>
      <c r="H7" s="435">
        <v>82508</v>
      </c>
      <c r="I7" s="436">
        <v>65989</v>
      </c>
      <c r="J7" s="416"/>
      <c r="K7" s="421" t="s">
        <v>329</v>
      </c>
      <c r="L7" s="638">
        <f>ER!P9</f>
        <v>11113.563545745816</v>
      </c>
      <c r="M7" s="870">
        <f>ER!O9</f>
        <v>2344.0860215053763</v>
      </c>
      <c r="N7" s="870">
        <f>ER!N9</f>
        <v>9462.5637005096032</v>
      </c>
      <c r="O7" s="870">
        <f>ER!M9</f>
        <v>10220.314735336195</v>
      </c>
      <c r="P7" s="870">
        <f>ER!L9</f>
        <v>13259.53177257525</v>
      </c>
      <c r="Q7" s="639">
        <f>ER!K9</f>
        <v>12270.674486803518</v>
      </c>
      <c r="S7" s="1614" t="s">
        <v>910</v>
      </c>
      <c r="T7" s="1616"/>
      <c r="U7" s="903"/>
    </row>
    <row r="8" spans="2:33">
      <c r="B8" s="552" t="s">
        <v>911</v>
      </c>
      <c r="C8" s="434">
        <v>30618</v>
      </c>
      <c r="D8" s="435">
        <v>32988</v>
      </c>
      <c r="E8" s="435">
        <v>44867</v>
      </c>
      <c r="F8" s="435">
        <v>65084</v>
      </c>
      <c r="G8" s="435">
        <v>61628</v>
      </c>
      <c r="H8" s="435">
        <v>30271</v>
      </c>
      <c r="I8" s="436">
        <v>47542</v>
      </c>
      <c r="J8" s="416"/>
      <c r="K8" s="421"/>
      <c r="L8" s="434">
        <f t="shared" ref="L8:N8" si="0">SUM(L4:L7)</f>
        <v>664128.87148451409</v>
      </c>
      <c r="M8" s="435">
        <f t="shared" si="0"/>
        <v>772974.78680014831</v>
      </c>
      <c r="N8" s="435">
        <f t="shared" si="0"/>
        <v>945080.36064288509</v>
      </c>
      <c r="O8" s="435">
        <f>SUM(O4:O7)</f>
        <v>901167.73962804023</v>
      </c>
      <c r="P8" s="435">
        <f>SUM(P4:P7)</f>
        <v>883913.37792642135</v>
      </c>
      <c r="Q8" s="436">
        <f>SUM(Q4:Q7)</f>
        <v>833331.08504398807</v>
      </c>
      <c r="S8" s="419" t="s">
        <v>912</v>
      </c>
      <c r="T8" s="904">
        <v>0.43</v>
      </c>
      <c r="U8" s="457"/>
    </row>
    <row r="9" spans="2:33">
      <c r="B9" s="552" t="s">
        <v>913</v>
      </c>
      <c r="C9" s="434">
        <f>26963+7277</f>
        <v>34240</v>
      </c>
      <c r="D9" s="435">
        <f>31493+5049</f>
        <v>36542</v>
      </c>
      <c r="E9" s="435">
        <v>39406</v>
      </c>
      <c r="F9" s="435">
        <v>49912</v>
      </c>
      <c r="G9" s="435">
        <v>59677</v>
      </c>
      <c r="H9" s="435">
        <v>71035</v>
      </c>
      <c r="I9" s="436">
        <v>66673</v>
      </c>
      <c r="J9" s="416"/>
      <c r="K9" s="421" t="s">
        <v>330</v>
      </c>
      <c r="L9" s="638">
        <f>ER!P10</f>
        <v>-116585.61765752936</v>
      </c>
      <c r="M9" s="870">
        <f>ER!O10</f>
        <v>-117501.29773822766</v>
      </c>
      <c r="N9" s="870">
        <f>ER!N10</f>
        <v>-141061.15248921991</v>
      </c>
      <c r="O9" s="870">
        <f>ER!M10</f>
        <v>-144368.02575107297</v>
      </c>
      <c r="P9" s="870">
        <f>ER!L10</f>
        <v>-138487.6254180602</v>
      </c>
      <c r="Q9" s="639">
        <f>ER!K10</f>
        <v>-115312.02346041055</v>
      </c>
      <c r="S9" s="421" t="s">
        <v>914</v>
      </c>
      <c r="T9" s="905">
        <v>0.19</v>
      </c>
      <c r="U9" s="457"/>
    </row>
    <row r="10" spans="2:33">
      <c r="B10" s="552" t="s">
        <v>915</v>
      </c>
      <c r="C10" s="434">
        <v>14189</v>
      </c>
      <c r="D10" s="435">
        <v>14977</v>
      </c>
      <c r="E10" s="435">
        <v>10905</v>
      </c>
      <c r="F10" s="435">
        <v>16325</v>
      </c>
      <c r="G10" s="435">
        <v>4573</v>
      </c>
      <c r="H10" s="435">
        <v>5733</v>
      </c>
      <c r="I10" s="436">
        <v>43022</v>
      </c>
      <c r="J10" s="416"/>
      <c r="K10" s="421"/>
      <c r="L10" s="906">
        <f>L9/L8</f>
        <v>-0.1755466787596929</v>
      </c>
      <c r="M10" s="907">
        <f t="shared" ref="M10:Q10" si="1">M9/M8</f>
        <v>-0.15201181169782124</v>
      </c>
      <c r="N10" s="907">
        <f t="shared" si="1"/>
        <v>-0.14925836824422414</v>
      </c>
      <c r="O10" s="907">
        <f t="shared" si="1"/>
        <v>-0.16020105847404315</v>
      </c>
      <c r="P10" s="907">
        <f t="shared" si="1"/>
        <v>-0.15667556219472467</v>
      </c>
      <c r="Q10" s="908">
        <f t="shared" si="1"/>
        <v>-0.13837480148040285</v>
      </c>
      <c r="S10" s="421" t="s">
        <v>916</v>
      </c>
      <c r="T10" s="905">
        <v>0.19</v>
      </c>
    </row>
    <row r="11" spans="2:33" ht="15">
      <c r="B11" s="552" t="s">
        <v>917</v>
      </c>
      <c r="C11" s="434"/>
      <c r="D11" s="435"/>
      <c r="E11" s="435"/>
      <c r="F11" s="435"/>
      <c r="G11" s="435">
        <v>0</v>
      </c>
      <c r="H11" s="435">
        <v>2614</v>
      </c>
      <c r="I11" s="436"/>
      <c r="J11" s="416"/>
      <c r="K11" s="446" t="s">
        <v>783</v>
      </c>
      <c r="L11" s="909">
        <f t="shared" ref="L11:Q11" si="2">SUM(L8:L9)</f>
        <v>547543.25382698467</v>
      </c>
      <c r="M11" s="910">
        <f t="shared" si="2"/>
        <v>655473.48906192067</v>
      </c>
      <c r="N11" s="910">
        <f t="shared" si="2"/>
        <v>804019.20815366518</v>
      </c>
      <c r="O11" s="910">
        <f t="shared" si="2"/>
        <v>756799.71387696732</v>
      </c>
      <c r="P11" s="910">
        <f t="shared" si="2"/>
        <v>745425.75250836113</v>
      </c>
      <c r="Q11" s="911">
        <f t="shared" si="2"/>
        <v>718019.06158357754</v>
      </c>
      <c r="R11" s="656"/>
      <c r="S11" s="421" t="s">
        <v>918</v>
      </c>
      <c r="T11" s="905">
        <v>0.05</v>
      </c>
    </row>
    <row r="12" spans="2:33">
      <c r="B12" s="552"/>
      <c r="C12" s="434">
        <f t="shared" ref="C12:I12" si="3">SUM(C4:C11)</f>
        <v>152142</v>
      </c>
      <c r="D12" s="435">
        <f t="shared" si="3"/>
        <v>208997</v>
      </c>
      <c r="E12" s="435">
        <f t="shared" si="3"/>
        <v>215927</v>
      </c>
      <c r="F12" s="435">
        <f t="shared" si="3"/>
        <v>263528.5</v>
      </c>
      <c r="G12" s="435">
        <f t="shared" si="3"/>
        <v>289104</v>
      </c>
      <c r="H12" s="435">
        <f t="shared" si="3"/>
        <v>261481</v>
      </c>
      <c r="I12" s="436">
        <f t="shared" si="3"/>
        <v>286948</v>
      </c>
      <c r="J12" s="416"/>
      <c r="K12" s="534"/>
      <c r="L12" s="912">
        <f>L9/L4</f>
        <v>-0.22471340359265329</v>
      </c>
      <c r="M12" s="913">
        <f t="shared" ref="M12:Q12" si="4">M9/M4</f>
        <v>-0.19288242365221628</v>
      </c>
      <c r="N12" s="913">
        <f t="shared" si="4"/>
        <v>-0.19088193653553692</v>
      </c>
      <c r="O12" s="913">
        <f t="shared" si="4"/>
        <v>-0.20637162875162579</v>
      </c>
      <c r="P12" s="913">
        <f t="shared" si="4"/>
        <v>-0.20450689784434031</v>
      </c>
      <c r="Q12" s="914">
        <f t="shared" si="4"/>
        <v>-0.18260909947940612</v>
      </c>
      <c r="R12" s="656"/>
      <c r="S12" s="534" t="s">
        <v>329</v>
      </c>
      <c r="T12" s="915">
        <v>0.14000000000000001</v>
      </c>
    </row>
    <row r="13" spans="2:33">
      <c r="B13" s="552"/>
      <c r="C13" s="434"/>
      <c r="D13" s="435"/>
      <c r="E13" s="435"/>
      <c r="F13" s="435"/>
      <c r="G13" s="435"/>
      <c r="H13" s="435"/>
      <c r="I13" s="436"/>
      <c r="S13" s="584"/>
      <c r="T13" s="874">
        <f>SUM(T8:T12)</f>
        <v>1</v>
      </c>
    </row>
    <row r="14" spans="2:33" ht="15">
      <c r="B14" s="894" t="s">
        <v>919</v>
      </c>
      <c r="C14" s="434">
        <v>-4844</v>
      </c>
      <c r="D14" s="435">
        <v>-4171</v>
      </c>
      <c r="E14" s="435">
        <v>-2478</v>
      </c>
      <c r="F14" s="435">
        <v>-5414</v>
      </c>
      <c r="G14" s="435">
        <v>-6574</v>
      </c>
      <c r="H14" s="435">
        <v>-10812</v>
      </c>
      <c r="I14" s="436">
        <v>-21880</v>
      </c>
      <c r="K14" s="548"/>
      <c r="L14" s="1614" t="s">
        <v>1389</v>
      </c>
      <c r="M14" s="1615"/>
      <c r="N14" s="1615"/>
      <c r="O14" s="1615"/>
      <c r="P14" s="1615"/>
      <c r="Q14" s="1616"/>
      <c r="T14" s="416"/>
      <c r="U14" s="416"/>
      <c r="V14" s="416"/>
      <c r="W14" s="416"/>
      <c r="X14" s="416"/>
      <c r="Y14" s="416"/>
    </row>
    <row r="15" spans="2:33" ht="15">
      <c r="B15" s="894" t="s">
        <v>920</v>
      </c>
      <c r="C15" s="897">
        <f t="shared" ref="C15:I15" si="5">C12+C14</f>
        <v>147298</v>
      </c>
      <c r="D15" s="872">
        <f t="shared" si="5"/>
        <v>204826</v>
      </c>
      <c r="E15" s="872">
        <f t="shared" si="5"/>
        <v>213449</v>
      </c>
      <c r="F15" s="872">
        <f t="shared" si="5"/>
        <v>258114.5</v>
      </c>
      <c r="G15" s="872">
        <f t="shared" si="5"/>
        <v>282530</v>
      </c>
      <c r="H15" s="872">
        <f t="shared" si="5"/>
        <v>250669</v>
      </c>
      <c r="I15" s="873">
        <f t="shared" si="5"/>
        <v>265068</v>
      </c>
      <c r="K15" s="894"/>
      <c r="L15" s="898">
        <v>2010</v>
      </c>
      <c r="M15" s="550">
        <v>2011</v>
      </c>
      <c r="N15" s="550">
        <v>2012</v>
      </c>
      <c r="O15" s="550">
        <v>2013</v>
      </c>
      <c r="P15" s="550">
        <v>2014</v>
      </c>
      <c r="Q15" s="551">
        <v>2015</v>
      </c>
      <c r="S15" s="584"/>
      <c r="T15" s="550">
        <v>2010</v>
      </c>
      <c r="U15" s="550">
        <v>2011</v>
      </c>
      <c r="V15" s="550">
        <v>2012</v>
      </c>
      <c r="W15" s="550">
        <v>2013</v>
      </c>
      <c r="X15" s="550">
        <v>2014</v>
      </c>
      <c r="Y15" s="551">
        <v>2015</v>
      </c>
    </row>
    <row r="16" spans="2:33" ht="18">
      <c r="B16" s="200"/>
      <c r="C16" s="202"/>
      <c r="D16" s="202"/>
      <c r="E16" s="202"/>
      <c r="F16" s="202"/>
      <c r="G16" s="202"/>
      <c r="H16" s="202"/>
      <c r="I16" s="202"/>
      <c r="K16" s="552" t="s">
        <v>921</v>
      </c>
      <c r="L16" s="916">
        <f>SUM(C4:C6)/D17</f>
        <v>11595.585617657529</v>
      </c>
      <c r="M16" s="917">
        <f t="shared" ref="M16:Q16" si="6">SUM(D4:D6)/E17</f>
        <v>17915.832406377456</v>
      </c>
      <c r="N16" s="917">
        <f t="shared" si="6"/>
        <v>19454.723637789102</v>
      </c>
      <c r="O16" s="917">
        <f t="shared" si="6"/>
        <v>22587.267525035768</v>
      </c>
      <c r="P16" s="917">
        <f t="shared" si="6"/>
        <v>20902.67558528428</v>
      </c>
      <c r="Q16" s="918">
        <f t="shared" si="6"/>
        <v>20328.445747800586</v>
      </c>
      <c r="S16" s="919" t="str">
        <f t="shared" ref="S16:Y17" si="7">K16</f>
        <v>Inventario inicial de productos terminados, en proceso y mercaderías</v>
      </c>
      <c r="T16" s="920">
        <f>L16</f>
        <v>11595.585617657529</v>
      </c>
      <c r="U16" s="920">
        <f t="shared" si="7"/>
        <v>17915.832406377456</v>
      </c>
      <c r="V16" s="920">
        <f t="shared" si="7"/>
        <v>19454.723637789102</v>
      </c>
      <c r="W16" s="920">
        <f t="shared" si="7"/>
        <v>22587.267525035768</v>
      </c>
      <c r="X16" s="920">
        <f t="shared" si="7"/>
        <v>20902.67558528428</v>
      </c>
      <c r="Y16" s="921">
        <f t="shared" si="7"/>
        <v>20328.445747800586</v>
      </c>
      <c r="Z16" s="920">
        <f>-Y18</f>
        <v>18686.803519061585</v>
      </c>
      <c r="AA16" s="457"/>
    </row>
    <row r="17" spans="2:35" ht="18">
      <c r="B17" s="200" t="s">
        <v>1391</v>
      </c>
      <c r="C17" s="202">
        <v>2.891</v>
      </c>
      <c r="D17" s="202">
        <v>2.8090000000000002</v>
      </c>
      <c r="E17" s="202">
        <v>2.6970000000000001</v>
      </c>
      <c r="F17" s="202">
        <v>2.5510000000000002</v>
      </c>
      <c r="G17" s="202">
        <v>2.7959999999999998</v>
      </c>
      <c r="H17" s="202">
        <v>2.99</v>
      </c>
      <c r="I17" s="202">
        <v>3.41</v>
      </c>
      <c r="K17" s="552" t="s">
        <v>335</v>
      </c>
      <c r="L17" s="434">
        <f>ER!P14</f>
        <v>317915.27233891061</v>
      </c>
      <c r="M17" s="435">
        <f>ER!O14</f>
        <v>384292.9180571005</v>
      </c>
      <c r="N17" s="435">
        <f>ER!N14</f>
        <v>447384.16307330457</v>
      </c>
      <c r="O17" s="435">
        <f>ER!M14</f>
        <v>406329.39914163091</v>
      </c>
      <c r="P17" s="435">
        <f>ER!L14</f>
        <v>409856.18729096989</v>
      </c>
      <c r="Q17" s="436">
        <f>ER!K14</f>
        <v>358786.51026392961</v>
      </c>
      <c r="S17" s="919" t="str">
        <f t="shared" si="7"/>
        <v>Materia prima e insumos utilizados y compra de mercaderías</v>
      </c>
      <c r="T17" s="920">
        <f>L17</f>
        <v>317915.27233891061</v>
      </c>
      <c r="U17" s="920">
        <f t="shared" si="7"/>
        <v>384292.9180571005</v>
      </c>
      <c r="V17" s="920">
        <f t="shared" si="7"/>
        <v>447384.16307330457</v>
      </c>
      <c r="W17" s="920">
        <f t="shared" si="7"/>
        <v>406329.39914163091</v>
      </c>
      <c r="X17" s="920">
        <f t="shared" si="7"/>
        <v>409856.18729096989</v>
      </c>
      <c r="Y17" s="921">
        <f t="shared" si="7"/>
        <v>358786.51026392961</v>
      </c>
      <c r="Z17" s="415"/>
    </row>
    <row r="18" spans="2:35" ht="15">
      <c r="B18" s="548"/>
      <c r="C18" s="898">
        <v>2009</v>
      </c>
      <c r="D18" s="550">
        <v>2010</v>
      </c>
      <c r="E18" s="550">
        <v>2011</v>
      </c>
      <c r="F18" s="550">
        <v>2012</v>
      </c>
      <c r="G18" s="550">
        <v>2013</v>
      </c>
      <c r="H18" s="550">
        <v>2014</v>
      </c>
      <c r="I18" s="551">
        <v>2015</v>
      </c>
      <c r="K18" s="552" t="s">
        <v>336</v>
      </c>
      <c r="L18" s="434">
        <f>ER!P15</f>
        <v>29603.061587753647</v>
      </c>
      <c r="M18" s="435">
        <f>ER!O15</f>
        <v>35828.698553948831</v>
      </c>
      <c r="N18" s="435">
        <f>ER!N15</f>
        <v>41422.971383771066</v>
      </c>
      <c r="O18" s="435">
        <f>ER!M15</f>
        <v>35797.210300429186</v>
      </c>
      <c r="P18" s="435">
        <f>ER!L15</f>
        <v>36777.926421404678</v>
      </c>
      <c r="Q18" s="436">
        <f>ER!K15</f>
        <v>33001.466275659819</v>
      </c>
      <c r="S18" s="919" t="str">
        <f t="shared" ref="S18:Y18" si="8">K25</f>
        <v>Menos: Inventario final de productos terminados, en proceso y mercaderías</v>
      </c>
      <c r="T18" s="920">
        <f>L25</f>
        <v>-17201.495194019222</v>
      </c>
      <c r="U18" s="920">
        <f t="shared" si="8"/>
        <v>-18401.557285873194</v>
      </c>
      <c r="V18" s="920">
        <f t="shared" si="8"/>
        <v>-24756.566052528418</v>
      </c>
      <c r="W18" s="920">
        <f t="shared" si="8"/>
        <v>-22353.004291845493</v>
      </c>
      <c r="X18" s="920">
        <f t="shared" si="8"/>
        <v>-23183.946488294314</v>
      </c>
      <c r="Y18" s="921">
        <f t="shared" si="8"/>
        <v>-18686.803519061585</v>
      </c>
      <c r="Z18" s="415"/>
    </row>
    <row r="19" spans="2:35">
      <c r="B19" s="899" t="s">
        <v>906</v>
      </c>
      <c r="C19" s="916">
        <f>C4/C$17</f>
        <v>635.76617087512966</v>
      </c>
      <c r="D19" s="917">
        <f t="shared" ref="D19:I19" si="9">D4/D$17</f>
        <v>630.47347810608755</v>
      </c>
      <c r="E19" s="917">
        <f t="shared" si="9"/>
        <v>757.87912495365219</v>
      </c>
      <c r="F19" s="917">
        <f t="shared" si="9"/>
        <v>1195.4135633085064</v>
      </c>
      <c r="G19" s="917">
        <f t="shared" si="9"/>
        <v>1050.0715307582261</v>
      </c>
      <c r="H19" s="917">
        <f t="shared" si="9"/>
        <v>654.1806020066889</v>
      </c>
      <c r="I19" s="918">
        <f t="shared" si="9"/>
        <v>795.01466275659823</v>
      </c>
      <c r="K19" s="552" t="s">
        <v>337</v>
      </c>
      <c r="L19" s="434">
        <f>ER!P16</f>
        <v>23337.130651477393</v>
      </c>
      <c r="M19" s="435">
        <f>ER!O16</f>
        <v>26950.685947348906</v>
      </c>
      <c r="N19" s="435">
        <f>ER!N16</f>
        <v>32881.223049784399</v>
      </c>
      <c r="O19" s="435">
        <f>ER!M16</f>
        <v>34146.28040057225</v>
      </c>
      <c r="P19" s="435">
        <f>ER!L16</f>
        <v>25470.234113712373</v>
      </c>
      <c r="Q19" s="436">
        <f>ER!K16</f>
        <v>32486.803519061581</v>
      </c>
      <c r="S19" s="421" t="s">
        <v>922</v>
      </c>
      <c r="T19" s="920">
        <f>SUM(T16:T18)</f>
        <v>312309.3627625489</v>
      </c>
      <c r="U19" s="920">
        <f t="shared" ref="U19:Y19" si="10">SUM(U16:U18)</f>
        <v>383807.19317760476</v>
      </c>
      <c r="V19" s="920">
        <f t="shared" si="10"/>
        <v>442082.32065856527</v>
      </c>
      <c r="W19" s="920">
        <f t="shared" si="10"/>
        <v>406563.6623748212</v>
      </c>
      <c r="X19" s="920">
        <f t="shared" si="10"/>
        <v>407574.91638795985</v>
      </c>
      <c r="Y19" s="921">
        <f t="shared" si="10"/>
        <v>360428.1524926686</v>
      </c>
      <c r="Z19" s="415"/>
    </row>
    <row r="20" spans="2:35">
      <c r="B20" s="899" t="s">
        <v>907</v>
      </c>
      <c r="C20" s="884">
        <f t="shared" ref="C20:I20" si="11">C5/C$17</f>
        <v>9033.8983050847455</v>
      </c>
      <c r="D20" s="880">
        <f t="shared" si="11"/>
        <v>14416.518333926664</v>
      </c>
      <c r="E20" s="880">
        <f t="shared" si="11"/>
        <v>15780.867630700779</v>
      </c>
      <c r="F20" s="880">
        <f t="shared" si="11"/>
        <v>20739.513916111329</v>
      </c>
      <c r="G20" s="880">
        <f t="shared" si="11"/>
        <v>20115.879828326182</v>
      </c>
      <c r="H20" s="880">
        <f t="shared" si="11"/>
        <v>21255.183946488294</v>
      </c>
      <c r="I20" s="881">
        <f t="shared" si="11"/>
        <v>16156.304985337243</v>
      </c>
      <c r="K20" s="552" t="s">
        <v>343</v>
      </c>
      <c r="L20" s="421"/>
      <c r="M20" s="435">
        <v>0</v>
      </c>
      <c r="N20" s="435">
        <v>0</v>
      </c>
      <c r="O20" s="435">
        <v>0</v>
      </c>
      <c r="P20" s="435">
        <v>0</v>
      </c>
      <c r="Q20" s="436">
        <v>0</v>
      </c>
      <c r="S20" s="421"/>
      <c r="T20" s="882"/>
      <c r="U20" s="882"/>
      <c r="V20" s="882"/>
      <c r="W20" s="882"/>
      <c r="X20" s="882"/>
      <c r="Y20" s="883"/>
      <c r="Z20" s="415"/>
    </row>
    <row r="21" spans="2:35">
      <c r="B21" s="899" t="s">
        <v>908</v>
      </c>
      <c r="C21" s="884">
        <f t="shared" ref="C21:I21" si="12">C6/C$17</f>
        <v>1597.0252507782775</v>
      </c>
      <c r="D21" s="880">
        <f t="shared" si="12"/>
        <v>2154.503381986472</v>
      </c>
      <c r="E21" s="880">
        <f t="shared" si="12"/>
        <v>1862.8105302187616</v>
      </c>
      <c r="F21" s="880">
        <f t="shared" si="12"/>
        <v>2821.6385731085848</v>
      </c>
      <c r="G21" s="880">
        <f t="shared" si="12"/>
        <v>1187.0529327610873</v>
      </c>
      <c r="H21" s="880">
        <f t="shared" si="12"/>
        <v>1274.5819397993309</v>
      </c>
      <c r="I21" s="881">
        <f t="shared" si="12"/>
        <v>1735.483870967742</v>
      </c>
      <c r="K21" s="552" t="s">
        <v>338</v>
      </c>
      <c r="L21" s="434">
        <f>ER!P17</f>
        <v>507.29797080811676</v>
      </c>
      <c r="M21" s="435">
        <f>ER!O17</f>
        <v>526.88172043010752</v>
      </c>
      <c r="N21" s="435">
        <f>ER!N17</f>
        <v>597.41277930223441</v>
      </c>
      <c r="O21" s="435">
        <f>ER!M17</f>
        <v>802.57510729613739</v>
      </c>
      <c r="P21" s="435">
        <f>ER!L17</f>
        <v>707.35785953177253</v>
      </c>
      <c r="Q21" s="436">
        <f>ER!K17</f>
        <v>636.95014662756591</v>
      </c>
      <c r="S21" s="421" t="s">
        <v>923</v>
      </c>
      <c r="T21" s="435">
        <f>344930/D17</f>
        <v>122794.58882164471</v>
      </c>
      <c r="U21" s="435">
        <f>346964/E17</f>
        <v>128648.12754912867</v>
      </c>
      <c r="V21" s="435">
        <f>445230/F17</f>
        <v>174531.55625245001</v>
      </c>
      <c r="W21" s="920">
        <f>365257/G17</f>
        <v>130635.55078683834</v>
      </c>
      <c r="X21" s="920">
        <f>500354/H17</f>
        <v>167342.47491638796</v>
      </c>
      <c r="Y21" s="921">
        <f>553768/I17</f>
        <v>162395.30791788857</v>
      </c>
      <c r="Z21" s="415"/>
    </row>
    <row r="22" spans="2:35">
      <c r="B22" s="552" t="s">
        <v>909</v>
      </c>
      <c r="C22" s="922">
        <f t="shared" ref="C22:I22" si="13">C7/C$17</f>
        <v>14016.949152542373</v>
      </c>
      <c r="D22" s="676">
        <f t="shared" si="13"/>
        <v>27116.767532929865</v>
      </c>
      <c r="E22" s="676">
        <f t="shared" si="13"/>
        <v>26370.040786058584</v>
      </c>
      <c r="F22" s="676">
        <f t="shared" si="13"/>
        <v>27069.188553508426</v>
      </c>
      <c r="G22" s="676">
        <f t="shared" si="13"/>
        <v>36025.393419170243</v>
      </c>
      <c r="H22" s="676">
        <f t="shared" si="13"/>
        <v>27594.648829431437</v>
      </c>
      <c r="I22" s="923">
        <f t="shared" si="13"/>
        <v>19351.612903225807</v>
      </c>
      <c r="K22" s="552" t="s">
        <v>924</v>
      </c>
      <c r="L22" s="884">
        <f>Depreciacion!V29</f>
        <v>17861.160555357779</v>
      </c>
      <c r="M22" s="880">
        <f>Depreciacion!W29</f>
        <v>21990.359658880236</v>
      </c>
      <c r="N22" s="880">
        <f>Depreciacion!X29</f>
        <v>27168.561348490788</v>
      </c>
      <c r="O22" s="880">
        <f>Depreciacion!Y29</f>
        <v>26680.615164520746</v>
      </c>
      <c r="P22" s="880">
        <f>Depreciacion!Z29</f>
        <v>26982.274247491638</v>
      </c>
      <c r="Q22" s="881">
        <f>Depreciacion!AA29</f>
        <v>26652.785923753665</v>
      </c>
      <c r="S22" s="421" t="s">
        <v>925</v>
      </c>
      <c r="T22" s="920">
        <f>T19-T21</f>
        <v>189514.77394090418</v>
      </c>
      <c r="U22" s="920">
        <f t="shared" ref="U22:W22" si="14">U19-U21</f>
        <v>255159.06562847609</v>
      </c>
      <c r="V22" s="920">
        <f t="shared" si="14"/>
        <v>267550.76440611528</v>
      </c>
      <c r="W22" s="920">
        <f t="shared" si="14"/>
        <v>275928.11158798286</v>
      </c>
      <c r="X22" s="920">
        <f>X19-X21</f>
        <v>240232.44147157189</v>
      </c>
      <c r="Y22" s="921">
        <f>Y19-Y21</f>
        <v>198032.84457478003</v>
      </c>
      <c r="Z22" s="415"/>
    </row>
    <row r="23" spans="2:35">
      <c r="B23" s="552" t="s">
        <v>911</v>
      </c>
      <c r="C23" s="922">
        <f t="shared" ref="C23:I23" si="15">C8/C$17</f>
        <v>10590.799031476998</v>
      </c>
      <c r="D23" s="676">
        <f t="shared" si="15"/>
        <v>11743.681025275899</v>
      </c>
      <c r="E23" s="676">
        <f t="shared" si="15"/>
        <v>16635.891731553576</v>
      </c>
      <c r="F23" s="676">
        <f t="shared" si="15"/>
        <v>25513.13210505684</v>
      </c>
      <c r="G23" s="676">
        <f t="shared" si="15"/>
        <v>22041.487839771104</v>
      </c>
      <c r="H23" s="676">
        <f t="shared" si="15"/>
        <v>10124.080267558527</v>
      </c>
      <c r="I23" s="923">
        <f t="shared" si="15"/>
        <v>13941.935483870968</v>
      </c>
      <c r="K23" s="552" t="s">
        <v>926</v>
      </c>
      <c r="L23" s="434">
        <f>ER!P19</f>
        <v>11.747953008187967</v>
      </c>
      <c r="M23" s="435">
        <f>ER!O19</f>
        <v>5.9325176121616607</v>
      </c>
      <c r="N23" s="435">
        <f>ER!N19</f>
        <v>0</v>
      </c>
      <c r="O23" s="435">
        <f>ER!M19</f>
        <v>3.9341917024320461</v>
      </c>
      <c r="P23" s="435">
        <f>ER!L19</f>
        <v>11.036789297658862</v>
      </c>
      <c r="Q23" s="436">
        <f>ER!K19</f>
        <v>30.205278592375365</v>
      </c>
      <c r="S23" s="919" t="str">
        <f t="shared" ref="S23:Y23" si="16">K22</f>
        <v>Depreciación</v>
      </c>
      <c r="T23" s="920">
        <f t="shared" si="16"/>
        <v>17861.160555357779</v>
      </c>
      <c r="U23" s="920">
        <f t="shared" si="16"/>
        <v>21990.359658880236</v>
      </c>
      <c r="V23" s="920">
        <f t="shared" si="16"/>
        <v>27168.561348490788</v>
      </c>
      <c r="W23" s="920">
        <f t="shared" si="16"/>
        <v>26680.615164520746</v>
      </c>
      <c r="X23" s="920">
        <f t="shared" si="16"/>
        <v>26982.274247491638</v>
      </c>
      <c r="Y23" s="921">
        <f t="shared" si="16"/>
        <v>26652.785923753665</v>
      </c>
    </row>
    <row r="24" spans="2:35">
      <c r="B24" s="552" t="s">
        <v>913</v>
      </c>
      <c r="C24" s="922">
        <f t="shared" ref="C24:I24" si="17">C9/C$17</f>
        <v>11843.652715323418</v>
      </c>
      <c r="D24" s="676">
        <f t="shared" si="17"/>
        <v>13008.899964400141</v>
      </c>
      <c r="E24" s="676">
        <f t="shared" si="17"/>
        <v>14611.049314052651</v>
      </c>
      <c r="F24" s="676">
        <f t="shared" si="17"/>
        <v>19565.660525284202</v>
      </c>
      <c r="G24" s="676">
        <f t="shared" si="17"/>
        <v>21343.705293276111</v>
      </c>
      <c r="H24" s="676">
        <f t="shared" si="17"/>
        <v>23757.525083612039</v>
      </c>
      <c r="I24" s="923">
        <f t="shared" si="17"/>
        <v>19552.199413489736</v>
      </c>
      <c r="K24" s="552" t="s">
        <v>339</v>
      </c>
      <c r="L24" s="434">
        <f>ER!P20</f>
        <v>1868.2805268778923</v>
      </c>
      <c r="M24" s="435">
        <f>ER!O20</f>
        <v>2025.583982202447</v>
      </c>
      <c r="N24" s="435">
        <f>ER!N20</f>
        <v>2393.9631517052135</v>
      </c>
      <c r="O24" s="435">
        <f>ER!M20</f>
        <v>2324.391988555079</v>
      </c>
      <c r="P24" s="435">
        <f>ER!L20</f>
        <v>2130.1003344481605</v>
      </c>
      <c r="Q24" s="436">
        <f>ER!K20</f>
        <v>2126.9794721407625</v>
      </c>
      <c r="S24" s="421" t="s">
        <v>329</v>
      </c>
      <c r="T24" s="920">
        <f>SUM(L18:L21,L23:L24)</f>
        <v>55327.518689925237</v>
      </c>
      <c r="U24" s="920">
        <f t="shared" ref="U24:Y24" si="18">SUM(M18:M21,M23:M24)</f>
        <v>65337.782721542462</v>
      </c>
      <c r="V24" s="920">
        <f t="shared" si="18"/>
        <v>77295.570364562926</v>
      </c>
      <c r="W24" s="920">
        <f t="shared" si="18"/>
        <v>73074.391988555086</v>
      </c>
      <c r="X24" s="920">
        <f t="shared" si="18"/>
        <v>65096.65551839464</v>
      </c>
      <c r="Y24" s="921">
        <f t="shared" si="18"/>
        <v>68282.404692082113</v>
      </c>
    </row>
    <row r="25" spans="2:35" ht="15">
      <c r="B25" s="552" t="s">
        <v>915</v>
      </c>
      <c r="C25" s="922">
        <f t="shared" ref="C25:I25" si="19">C10/C$17</f>
        <v>4907.9903147699761</v>
      </c>
      <c r="D25" s="676">
        <f t="shared" si="19"/>
        <v>5331.7906728373082</v>
      </c>
      <c r="E25" s="676">
        <f t="shared" si="19"/>
        <v>4043.3815350389323</v>
      </c>
      <c r="F25" s="676">
        <f t="shared" si="19"/>
        <v>6399.4511956095648</v>
      </c>
      <c r="G25" s="676">
        <f t="shared" si="19"/>
        <v>1635.5507868383406</v>
      </c>
      <c r="H25" s="676">
        <f t="shared" si="19"/>
        <v>1917.391304347826</v>
      </c>
      <c r="I25" s="923">
        <f t="shared" si="19"/>
        <v>12616.422287390029</v>
      </c>
      <c r="K25" s="552" t="s">
        <v>927</v>
      </c>
      <c r="L25" s="884">
        <f t="shared" ref="L25:Q25" si="20">-SUM(D19:D21)</f>
        <v>-17201.495194019222</v>
      </c>
      <c r="M25" s="880">
        <f t="shared" si="20"/>
        <v>-18401.557285873194</v>
      </c>
      <c r="N25" s="880">
        <f t="shared" si="20"/>
        <v>-24756.566052528418</v>
      </c>
      <c r="O25" s="880">
        <f t="shared" si="20"/>
        <v>-22353.004291845493</v>
      </c>
      <c r="P25" s="880">
        <f t="shared" si="20"/>
        <v>-23183.946488294314</v>
      </c>
      <c r="Q25" s="881">
        <f t="shared" si="20"/>
        <v>-18686.803519061585</v>
      </c>
      <c r="S25" s="924" t="s">
        <v>783</v>
      </c>
      <c r="T25" s="925">
        <f>SUM(T21:T24)</f>
        <v>385498.04200783191</v>
      </c>
      <c r="U25" s="925">
        <f t="shared" ref="U25:X25" si="21">SUM(U21:U24)</f>
        <v>471135.33555802744</v>
      </c>
      <c r="V25" s="925">
        <f t="shared" si="21"/>
        <v>546546.45237161894</v>
      </c>
      <c r="W25" s="925">
        <f t="shared" si="21"/>
        <v>506318.66952789703</v>
      </c>
      <c r="X25" s="925">
        <f t="shared" si="21"/>
        <v>499653.84615384613</v>
      </c>
      <c r="Y25" s="926">
        <f>SUM(Y21:Y24)</f>
        <v>455363.34310850443</v>
      </c>
      <c r="Z25" s="416"/>
      <c r="AA25" s="416"/>
    </row>
    <row r="26" spans="2:35" ht="15">
      <c r="B26" s="552" t="s">
        <v>917</v>
      </c>
      <c r="C26" s="922">
        <f t="shared" ref="C26:I26" si="22">C11/C$17</f>
        <v>0</v>
      </c>
      <c r="D26" s="676">
        <f t="shared" si="22"/>
        <v>0</v>
      </c>
      <c r="E26" s="676">
        <f t="shared" si="22"/>
        <v>0</v>
      </c>
      <c r="F26" s="676">
        <f t="shared" si="22"/>
        <v>0</v>
      </c>
      <c r="G26" s="676">
        <f t="shared" si="22"/>
        <v>0</v>
      </c>
      <c r="H26" s="676">
        <f t="shared" si="22"/>
        <v>874.24749163879596</v>
      </c>
      <c r="I26" s="923">
        <f t="shared" si="22"/>
        <v>0</v>
      </c>
      <c r="K26" s="528" t="s">
        <v>783</v>
      </c>
      <c r="L26" s="885">
        <f t="shared" ref="L26:N26" si="23">SUM(L16:L25)</f>
        <v>385498.04200783186</v>
      </c>
      <c r="M26" s="886">
        <f t="shared" si="23"/>
        <v>471135.33555802744</v>
      </c>
      <c r="N26" s="886">
        <f t="shared" si="23"/>
        <v>546546.45237161883</v>
      </c>
      <c r="O26" s="886">
        <f>SUM(O16:O25)</f>
        <v>506318.66952789703</v>
      </c>
      <c r="P26" s="886">
        <f>SUM(P16:P25)</f>
        <v>499653.84615384613</v>
      </c>
      <c r="Q26" s="887">
        <f>SUM(Q16:Q25)</f>
        <v>455363.34310850437</v>
      </c>
      <c r="S26" s="447"/>
      <c r="T26" s="927">
        <f t="shared" ref="T26:Y26" si="24">T25-L26</f>
        <v>0</v>
      </c>
      <c r="U26" s="927">
        <f t="shared" si="24"/>
        <v>0</v>
      </c>
      <c r="V26" s="927">
        <f t="shared" si="24"/>
        <v>0</v>
      </c>
      <c r="W26" s="927">
        <f t="shared" si="24"/>
        <v>0</v>
      </c>
      <c r="X26" s="927">
        <f t="shared" si="24"/>
        <v>0</v>
      </c>
      <c r="Y26" s="927">
        <f t="shared" si="24"/>
        <v>0</v>
      </c>
    </row>
    <row r="27" spans="2:35" ht="15">
      <c r="B27" s="552"/>
      <c r="C27" s="434">
        <f t="shared" ref="C27:I27" si="25">SUM(C19:C26)</f>
        <v>52626.080940850916</v>
      </c>
      <c r="D27" s="435">
        <f t="shared" si="25"/>
        <v>74402.634389462444</v>
      </c>
      <c r="E27" s="435">
        <f t="shared" si="25"/>
        <v>80061.92065257694</v>
      </c>
      <c r="F27" s="435">
        <f t="shared" si="25"/>
        <v>103303.99843198745</v>
      </c>
      <c r="G27" s="435">
        <f t="shared" si="25"/>
        <v>103399.1416309013</v>
      </c>
      <c r="H27" s="435">
        <f t="shared" si="25"/>
        <v>87451.839464882942</v>
      </c>
      <c r="I27" s="436">
        <f t="shared" si="25"/>
        <v>84148.973607038133</v>
      </c>
      <c r="K27" s="631"/>
      <c r="L27" s="928">
        <f>L26-ER!P22</f>
        <v>0</v>
      </c>
      <c r="M27" s="928">
        <f>M26-ER!O22</f>
        <v>0</v>
      </c>
      <c r="N27" s="870">
        <f>N26-ER!N22</f>
        <v>0.39200313598848879</v>
      </c>
      <c r="O27" s="928">
        <f>O26-ER!M22</f>
        <v>0</v>
      </c>
      <c r="P27" s="928">
        <f>P26-ER!L22</f>
        <v>0</v>
      </c>
      <c r="Q27" s="928">
        <f>Q26-ER!K22</f>
        <v>0</v>
      </c>
      <c r="S27" s="1857" t="s">
        <v>928</v>
      </c>
      <c r="T27" s="1857"/>
      <c r="U27" s="1857"/>
      <c r="V27" s="1857"/>
      <c r="W27" s="1857"/>
      <c r="X27" s="1857"/>
      <c r="Y27" s="1857"/>
      <c r="Z27" s="929"/>
    </row>
    <row r="28" spans="2:35" ht="15">
      <c r="B28" s="552"/>
      <c r="C28" s="434"/>
      <c r="D28" s="435"/>
      <c r="E28" s="435"/>
      <c r="F28" s="435"/>
      <c r="G28" s="435"/>
      <c r="H28" s="435"/>
      <c r="I28" s="436"/>
      <c r="K28" s="631"/>
      <c r="L28" s="929"/>
      <c r="M28" s="929"/>
      <c r="N28" s="929"/>
      <c r="O28" s="929"/>
      <c r="P28" s="929"/>
      <c r="Q28" s="929"/>
      <c r="S28" s="534"/>
      <c r="T28" s="540">
        <v>2010</v>
      </c>
      <c r="U28" s="540">
        <v>2011</v>
      </c>
      <c r="V28" s="540">
        <v>2012</v>
      </c>
      <c r="W28" s="540">
        <v>2013</v>
      </c>
      <c r="X28" s="540">
        <v>2014</v>
      </c>
      <c r="Y28" s="607">
        <v>2015</v>
      </c>
      <c r="Z28" s="929"/>
      <c r="AA28" s="930"/>
      <c r="AH28" s="155">
        <f>0.04*0.5</f>
        <v>0.02</v>
      </c>
      <c r="AI28" s="155">
        <f>0.65+AH28</f>
        <v>0.67</v>
      </c>
    </row>
    <row r="29" spans="2:35" ht="15">
      <c r="B29" s="894" t="s">
        <v>919</v>
      </c>
      <c r="C29" s="931">
        <f t="shared" ref="C29:I29" si="26">C14/C$17</f>
        <v>-1675.5447941888619</v>
      </c>
      <c r="D29" s="180">
        <f t="shared" si="26"/>
        <v>-1484.8700605197578</v>
      </c>
      <c r="E29" s="180">
        <f t="shared" si="26"/>
        <v>-918.7986651835372</v>
      </c>
      <c r="F29" s="180">
        <f t="shared" si="26"/>
        <v>-2122.3049784398272</v>
      </c>
      <c r="G29" s="180">
        <f t="shared" si="26"/>
        <v>-2351.2160228898429</v>
      </c>
      <c r="H29" s="180">
        <f t="shared" si="26"/>
        <v>-3616.0535117056852</v>
      </c>
      <c r="I29" s="181">
        <f t="shared" si="26"/>
        <v>-6416.4222873900289</v>
      </c>
      <c r="K29" s="548"/>
      <c r="L29" s="1614" t="s">
        <v>1392</v>
      </c>
      <c r="M29" s="1615"/>
      <c r="N29" s="1615"/>
      <c r="O29" s="1615"/>
      <c r="P29" s="1615"/>
      <c r="Q29" s="1616"/>
      <c r="S29" s="421" t="s">
        <v>929</v>
      </c>
      <c r="T29" s="882">
        <f t="shared" ref="T29:Y33" si="27">T21/T$25</f>
        <v>0.31853492220629742</v>
      </c>
      <c r="U29" s="882">
        <f t="shared" si="27"/>
        <v>0.27305981496113807</v>
      </c>
      <c r="V29" s="882">
        <f t="shared" si="27"/>
        <v>0.31933526509065874</v>
      </c>
      <c r="W29" s="882">
        <f t="shared" si="27"/>
        <v>0.25801053496337767</v>
      </c>
      <c r="X29" s="882">
        <f t="shared" si="27"/>
        <v>0.33491681532030537</v>
      </c>
      <c r="Y29" s="883">
        <f t="shared" si="27"/>
        <v>0.35662797714306321</v>
      </c>
    </row>
    <row r="30" spans="2:35" ht="15">
      <c r="B30" s="894" t="s">
        <v>920</v>
      </c>
      <c r="C30" s="897">
        <f t="shared" ref="C30:I30" si="28">C27+C29</f>
        <v>50950.536146662052</v>
      </c>
      <c r="D30" s="872">
        <f t="shared" si="28"/>
        <v>72917.764328942692</v>
      </c>
      <c r="E30" s="872">
        <f t="shared" si="28"/>
        <v>79143.121987393402</v>
      </c>
      <c r="F30" s="872">
        <f t="shared" si="28"/>
        <v>101181.69345354762</v>
      </c>
      <c r="G30" s="872">
        <f t="shared" si="28"/>
        <v>101047.92560801146</v>
      </c>
      <c r="H30" s="872">
        <f t="shared" si="28"/>
        <v>83835.785953177256</v>
      </c>
      <c r="I30" s="873">
        <f t="shared" si="28"/>
        <v>77732.551319648104</v>
      </c>
      <c r="K30" s="894"/>
      <c r="L30" s="606">
        <v>2010</v>
      </c>
      <c r="M30" s="540">
        <v>2011</v>
      </c>
      <c r="N30" s="540">
        <v>2012</v>
      </c>
      <c r="O30" s="540">
        <v>2013</v>
      </c>
      <c r="P30" s="540">
        <v>2014</v>
      </c>
      <c r="Q30" s="607">
        <v>2015</v>
      </c>
      <c r="S30" s="421" t="str">
        <f>S22</f>
        <v>Azucar, botella, tapa</v>
      </c>
      <c r="T30" s="882">
        <f>T22/T$25</f>
        <v>0.49161021143929423</v>
      </c>
      <c r="U30" s="882">
        <f t="shared" si="27"/>
        <v>0.54158337609353313</v>
      </c>
      <c r="V30" s="882">
        <f t="shared" si="27"/>
        <v>0.48952977966490713</v>
      </c>
      <c r="W30" s="882">
        <f t="shared" si="27"/>
        <v>0.54496926183911898</v>
      </c>
      <c r="X30" s="882">
        <f t="shared" si="27"/>
        <v>0.48079774291901078</v>
      </c>
      <c r="Y30" s="883">
        <f t="shared" si="27"/>
        <v>0.43488973711173884</v>
      </c>
    </row>
    <row r="31" spans="2:35">
      <c r="F31" s="416"/>
      <c r="G31" s="416"/>
      <c r="K31" s="552" t="s">
        <v>930</v>
      </c>
      <c r="L31" s="434">
        <v>0</v>
      </c>
      <c r="M31" s="435">
        <v>0</v>
      </c>
      <c r="N31" s="435">
        <v>0</v>
      </c>
      <c r="O31" s="435">
        <v>0</v>
      </c>
      <c r="P31" s="435">
        <v>0</v>
      </c>
      <c r="Q31" s="436"/>
      <c r="S31" s="421" t="str">
        <f>S23</f>
        <v>Depreciación</v>
      </c>
      <c r="T31" s="882">
        <f t="shared" si="27"/>
        <v>4.6332688130734802E-2</v>
      </c>
      <c r="U31" s="882">
        <f t="shared" si="27"/>
        <v>4.6675250186518413E-2</v>
      </c>
      <c r="V31" s="882">
        <f t="shared" si="27"/>
        <v>4.9709519164562774E-2</v>
      </c>
      <c r="W31" s="882">
        <f t="shared" si="27"/>
        <v>5.2695301931880878E-2</v>
      </c>
      <c r="X31" s="882">
        <f t="shared" si="27"/>
        <v>5.4001934449602232E-2</v>
      </c>
      <c r="Y31" s="883">
        <f t="shared" si="27"/>
        <v>5.8530811333671218E-2</v>
      </c>
    </row>
    <row r="32" spans="2:35">
      <c r="H32" s="416"/>
      <c r="I32" s="416"/>
      <c r="K32" s="552" t="s">
        <v>335</v>
      </c>
      <c r="L32" s="434">
        <v>0</v>
      </c>
      <c r="M32" s="435">
        <v>0</v>
      </c>
      <c r="N32" s="435">
        <v>0</v>
      </c>
      <c r="O32" s="435">
        <v>0</v>
      </c>
      <c r="P32" s="435">
        <v>0</v>
      </c>
      <c r="Q32" s="436"/>
      <c r="S32" s="421" t="str">
        <f>S24</f>
        <v>Otros</v>
      </c>
      <c r="T32" s="882">
        <f t="shared" si="27"/>
        <v>0.14352217822367352</v>
      </c>
      <c r="U32" s="882">
        <f t="shared" si="27"/>
        <v>0.13868155875881044</v>
      </c>
      <c r="V32" s="882">
        <f t="shared" si="27"/>
        <v>0.14142543607987149</v>
      </c>
      <c r="W32" s="882">
        <f t="shared" si="27"/>
        <v>0.1443249012656225</v>
      </c>
      <c r="X32" s="882">
        <f t="shared" si="27"/>
        <v>0.13028350731108157</v>
      </c>
      <c r="Y32" s="883">
        <f t="shared" si="27"/>
        <v>0.14995147441152662</v>
      </c>
    </row>
    <row r="33" spans="4:26" ht="15">
      <c r="K33" s="552" t="s">
        <v>336</v>
      </c>
      <c r="L33" s="434">
        <f>ER!P26</f>
        <v>15939.124243503025</v>
      </c>
      <c r="M33" s="435">
        <f>ER!O26</f>
        <v>20833.147942157953</v>
      </c>
      <c r="N33" s="435">
        <f>ER!N26</f>
        <v>28215.209721677773</v>
      </c>
      <c r="O33" s="435">
        <f>ER!M26</f>
        <v>25497.138769670961</v>
      </c>
      <c r="P33" s="435">
        <f>ER!L26</f>
        <v>28747.157190635451</v>
      </c>
      <c r="Q33" s="436">
        <f>ER!K26</f>
        <v>27196.480938416422</v>
      </c>
      <c r="S33" s="260" t="s">
        <v>783</v>
      </c>
      <c r="T33" s="932">
        <f t="shared" si="27"/>
        <v>1</v>
      </c>
      <c r="U33" s="932">
        <f t="shared" si="27"/>
        <v>1</v>
      </c>
      <c r="V33" s="932">
        <f t="shared" si="27"/>
        <v>1</v>
      </c>
      <c r="W33" s="932">
        <f t="shared" si="27"/>
        <v>1</v>
      </c>
      <c r="X33" s="932">
        <f t="shared" si="27"/>
        <v>1</v>
      </c>
      <c r="Y33" s="933">
        <f t="shared" si="27"/>
        <v>1</v>
      </c>
    </row>
    <row r="34" spans="4:26">
      <c r="D34" s="416"/>
      <c r="K34" s="552" t="s">
        <v>337</v>
      </c>
      <c r="L34" s="434">
        <f>ER!P27</f>
        <v>42505.873976504088</v>
      </c>
      <c r="M34" s="435">
        <f>ER!O27</f>
        <v>50076.01038190582</v>
      </c>
      <c r="N34" s="435">
        <f>ER!N27</f>
        <v>66910.623284986272</v>
      </c>
      <c r="O34" s="435">
        <f>ER!M27</f>
        <v>71898.426323319029</v>
      </c>
      <c r="P34" s="435">
        <f>ER!L27</f>
        <v>69727.759197324413</v>
      </c>
      <c r="Q34" s="436">
        <f>ER!K27</f>
        <v>70686.217008797656</v>
      </c>
      <c r="T34" s="601"/>
      <c r="U34" s="601"/>
      <c r="V34" s="601"/>
      <c r="W34" s="601"/>
      <c r="X34" s="601"/>
      <c r="Y34" s="601"/>
    </row>
    <row r="35" spans="4:26">
      <c r="D35" s="416"/>
      <c r="K35" s="552" t="s">
        <v>343</v>
      </c>
      <c r="L35" s="434">
        <f>ER!P28</f>
        <v>22655.393378426485</v>
      </c>
      <c r="M35" s="435">
        <f>ER!O28</f>
        <v>25873.563218390806</v>
      </c>
      <c r="N35" s="435">
        <f>ER!N28</f>
        <v>31832.614660917287</v>
      </c>
      <c r="O35" s="435">
        <f>ER!M28</f>
        <v>33043.633762517886</v>
      </c>
      <c r="P35" s="435">
        <f>ER!L28</f>
        <v>25363.879598662206</v>
      </c>
      <c r="Q35" s="436">
        <f>ER!K28</f>
        <v>29623.460410557185</v>
      </c>
      <c r="T35" s="530"/>
      <c r="U35" s="530"/>
      <c r="V35" s="530"/>
      <c r="W35" s="530"/>
      <c r="X35" s="530"/>
      <c r="Y35" s="530"/>
    </row>
    <row r="36" spans="4:26">
      <c r="K36" s="552" t="s">
        <v>338</v>
      </c>
      <c r="L36" s="434">
        <f>ER!P29</f>
        <v>349.59060163759341</v>
      </c>
      <c r="M36" s="435">
        <f>ER!O29</f>
        <v>426.39970337411938</v>
      </c>
      <c r="N36" s="435">
        <f>ER!N29</f>
        <v>542.532340258722</v>
      </c>
      <c r="O36" s="435">
        <f>ER!M29</f>
        <v>540.05722460658092</v>
      </c>
      <c r="P36" s="435">
        <f>ER!L29</f>
        <v>497.65886287625415</v>
      </c>
      <c r="Q36" s="436">
        <f>ER!K29</f>
        <v>607.91788856304981</v>
      </c>
      <c r="S36" s="457" t="s">
        <v>805</v>
      </c>
      <c r="T36" s="601">
        <f>'Proyeccion Venta'!D73/1000</f>
        <v>1343442.6421416001</v>
      </c>
      <c r="U36" s="601">
        <f>'Proyeccion Venta'!E73/1000</f>
        <v>1471768.1016191998</v>
      </c>
      <c r="V36" s="601">
        <f>'Proyeccion Venta'!F73/1000</f>
        <v>1558643.3020619997</v>
      </c>
      <c r="W36" s="601">
        <f>'Proyeccion Venta'!G73/1000</f>
        <v>1559778.9255971997</v>
      </c>
      <c r="X36" s="601">
        <f>'Proyeccion Venta'!H73/1000</f>
        <v>1596118.8787235997</v>
      </c>
      <c r="Y36" s="601">
        <f>'Proyeccion Venta'!I73/1000</f>
        <v>1660849.4202299993</v>
      </c>
      <c r="Z36" s="530"/>
    </row>
    <row r="37" spans="4:26">
      <c r="K37" s="552" t="s">
        <v>931</v>
      </c>
      <c r="L37" s="884">
        <f>Depreciacion!V30</f>
        <v>7809.8967604129575</v>
      </c>
      <c r="M37" s="880">
        <f>Depreciacion!W30</f>
        <v>12484.241750092695</v>
      </c>
      <c r="N37" s="880">
        <f>Depreciacion!X30</f>
        <v>15471.187769502156</v>
      </c>
      <c r="O37" s="880">
        <f>Depreciacion!Y30</f>
        <v>14247.138769670959</v>
      </c>
      <c r="P37" s="880">
        <f>Depreciacion!Z30</f>
        <v>15735.785953177256</v>
      </c>
      <c r="Q37" s="881">
        <f>Depreciacion!AA30</f>
        <v>15655.777126099705</v>
      </c>
      <c r="S37" s="457" t="s">
        <v>923</v>
      </c>
      <c r="T37" s="530">
        <f t="shared" ref="T37:Y40" si="29">T21/T$36</f>
        <v>9.1402926310196753E-2</v>
      </c>
      <c r="U37" s="530">
        <f t="shared" si="29"/>
        <v>8.7410596416373915E-2</v>
      </c>
      <c r="V37" s="530">
        <f t="shared" si="29"/>
        <v>0.11197658631808466</v>
      </c>
      <c r="W37" s="530">
        <f t="shared" si="29"/>
        <v>8.3752606630982218E-2</v>
      </c>
      <c r="X37" s="530">
        <f t="shared" si="29"/>
        <v>0.1048433654579727</v>
      </c>
      <c r="Y37" s="530">
        <f t="shared" si="29"/>
        <v>9.7778465609121623E-2</v>
      </c>
    </row>
    <row r="38" spans="4:26">
      <c r="K38" s="552" t="s">
        <v>932</v>
      </c>
      <c r="L38" s="434">
        <f>ER!P31</f>
        <v>0</v>
      </c>
      <c r="M38" s="435">
        <f>ER!O31</f>
        <v>0</v>
      </c>
      <c r="N38" s="435">
        <f>ER!N31</f>
        <v>0</v>
      </c>
      <c r="O38" s="435">
        <f>ER!M31</f>
        <v>0</v>
      </c>
      <c r="P38" s="435">
        <f>ER!L31</f>
        <v>15.719063545150501</v>
      </c>
      <c r="Q38" s="436">
        <f>ER!K31</f>
        <v>229.61876832844573</v>
      </c>
      <c r="S38" s="457" t="s">
        <v>925</v>
      </c>
      <c r="T38" s="530">
        <f t="shared" si="29"/>
        <v>0.14106651672065143</v>
      </c>
      <c r="U38" s="530">
        <f t="shared" si="29"/>
        <v>0.17336906904542701</v>
      </c>
      <c r="V38" s="530">
        <f t="shared" si="29"/>
        <v>0.17165618589715831</v>
      </c>
      <c r="W38" s="530">
        <f t="shared" si="29"/>
        <v>0.17690206417062404</v>
      </c>
      <c r="X38" s="530">
        <f t="shared" si="29"/>
        <v>0.15051036904198725</v>
      </c>
      <c r="Y38" s="530">
        <f t="shared" si="29"/>
        <v>0.11923588144875642</v>
      </c>
    </row>
    <row r="39" spans="4:26">
      <c r="K39" s="552" t="s">
        <v>339</v>
      </c>
      <c r="L39" s="434">
        <f>ER!P32</f>
        <v>1163.4033463866144</v>
      </c>
      <c r="M39" s="435">
        <f>ER!O32</f>
        <v>2351.130886169818</v>
      </c>
      <c r="N39" s="435">
        <f>ER!N32</f>
        <v>2248.1379851038805</v>
      </c>
      <c r="O39" s="435">
        <f>ER!M32</f>
        <v>1805.7939914163092</v>
      </c>
      <c r="P39" s="435">
        <f>ER!L32</f>
        <v>1557.5250836120401</v>
      </c>
      <c r="Q39" s="436">
        <f>ER!K32</f>
        <v>1652.4926686217009</v>
      </c>
      <c r="S39" s="920" t="s">
        <v>924</v>
      </c>
      <c r="T39" s="530">
        <f t="shared" si="29"/>
        <v>1.3295067459586559E-2</v>
      </c>
      <c r="U39" s="530">
        <f t="shared" si="29"/>
        <v>1.4941456901183706E-2</v>
      </c>
      <c r="V39" s="530">
        <f t="shared" si="29"/>
        <v>1.7430903730538135E-2</v>
      </c>
      <c r="W39" s="530">
        <f t="shared" si="29"/>
        <v>1.7105382517144482E-2</v>
      </c>
      <c r="X39" s="530">
        <f t="shared" si="29"/>
        <v>1.6904927701293211E-2</v>
      </c>
      <c r="Y39" s="530">
        <f t="shared" si="29"/>
        <v>1.604768355222878E-2</v>
      </c>
    </row>
    <row r="40" spans="4:26">
      <c r="K40" s="552" t="s">
        <v>933</v>
      </c>
      <c r="L40" s="434">
        <v>0</v>
      </c>
      <c r="M40" s="435">
        <v>0</v>
      </c>
      <c r="N40" s="435">
        <v>0</v>
      </c>
      <c r="O40" s="435">
        <v>0</v>
      </c>
      <c r="P40" s="435">
        <v>0</v>
      </c>
      <c r="Q40" s="436"/>
      <c r="S40" s="457" t="s">
        <v>329</v>
      </c>
      <c r="T40" s="530">
        <f t="shared" si="29"/>
        <v>4.1183387332210095E-2</v>
      </c>
      <c r="U40" s="530">
        <f t="shared" si="29"/>
        <v>4.4394074480660087E-2</v>
      </c>
      <c r="V40" s="530">
        <f t="shared" si="29"/>
        <v>4.9591571248088079E-2</v>
      </c>
      <c r="W40" s="530">
        <f t="shared" si="29"/>
        <v>4.684919817119388E-2</v>
      </c>
      <c r="X40" s="530">
        <f t="shared" si="29"/>
        <v>4.0784340305812176E-2</v>
      </c>
      <c r="Y40" s="530">
        <f t="shared" si="29"/>
        <v>4.111294128195328E-2</v>
      </c>
    </row>
    <row r="41" spans="4:26" ht="15">
      <c r="K41" s="528"/>
      <c r="L41" s="897">
        <f t="shared" ref="L41:Q41" si="30">SUM(L31:L40)</f>
        <v>90423.282306870766</v>
      </c>
      <c r="M41" s="872">
        <f t="shared" si="30"/>
        <v>112044.49388209121</v>
      </c>
      <c r="N41" s="872">
        <f t="shared" si="30"/>
        <v>145220.30576244611</v>
      </c>
      <c r="O41" s="872">
        <f t="shared" si="30"/>
        <v>147032.18884120174</v>
      </c>
      <c r="P41" s="872">
        <f t="shared" si="30"/>
        <v>141645.48494983278</v>
      </c>
      <c r="Q41" s="873">
        <f t="shared" si="30"/>
        <v>145651.96480938417</v>
      </c>
      <c r="S41" s="457"/>
      <c r="T41" s="934">
        <f>SUM(T21:T22)</f>
        <v>312309.3627625489</v>
      </c>
      <c r="U41" s="934">
        <f t="shared" ref="U41:Y41" si="31">SUM(U21:U22)</f>
        <v>383807.19317760476</v>
      </c>
      <c r="V41" s="934">
        <f t="shared" si="31"/>
        <v>442082.32065856527</v>
      </c>
      <c r="W41" s="934">
        <f t="shared" si="31"/>
        <v>406563.6623748212</v>
      </c>
      <c r="X41" s="934">
        <f t="shared" si="31"/>
        <v>407574.91638795985</v>
      </c>
      <c r="Y41" s="934">
        <f t="shared" si="31"/>
        <v>360428.1524926686</v>
      </c>
    </row>
    <row r="42" spans="4:26">
      <c r="L42" s="928">
        <f>L41+ER!P33</f>
        <v>0</v>
      </c>
      <c r="M42" s="928">
        <f>M41+ER!O33</f>
        <v>0</v>
      </c>
      <c r="N42" s="870">
        <f>N41+ER!N33</f>
        <v>0</v>
      </c>
      <c r="O42" s="928">
        <f>O41+ER!M33</f>
        <v>0</v>
      </c>
      <c r="P42" s="928">
        <f>P41+ER!L33</f>
        <v>0</v>
      </c>
      <c r="Q42" s="928">
        <f>Q41+ER!K33</f>
        <v>5.8651026367442682E-2</v>
      </c>
      <c r="T42" s="934"/>
      <c r="U42" s="934"/>
      <c r="V42" s="934"/>
      <c r="W42" s="934"/>
      <c r="X42" s="934"/>
      <c r="Y42" s="934"/>
    </row>
    <row r="43" spans="4:26">
      <c r="L43" s="457"/>
      <c r="M43" s="457"/>
      <c r="N43" s="457"/>
      <c r="O43" s="457"/>
      <c r="P43" s="457"/>
      <c r="Q43" s="457"/>
      <c r="U43" s="935"/>
      <c r="V43" s="935"/>
      <c r="W43" s="935"/>
      <c r="X43" s="935"/>
      <c r="Y43" s="935"/>
    </row>
    <row r="44" spans="4:26" ht="15">
      <c r="K44" s="548"/>
      <c r="L44" s="1614" t="s">
        <v>1393</v>
      </c>
      <c r="M44" s="1615"/>
      <c r="N44" s="1615"/>
      <c r="O44" s="1615"/>
      <c r="P44" s="1615"/>
      <c r="Q44" s="1616"/>
      <c r="U44" s="935"/>
      <c r="V44" s="935"/>
      <c r="W44" s="935"/>
      <c r="X44" s="935"/>
      <c r="Y44" s="935"/>
    </row>
    <row r="45" spans="4:26" ht="15">
      <c r="K45" s="894"/>
      <c r="L45" s="606">
        <v>2010</v>
      </c>
      <c r="M45" s="540">
        <v>2011</v>
      </c>
      <c r="N45" s="540">
        <v>2012</v>
      </c>
      <c r="O45" s="540">
        <v>2013</v>
      </c>
      <c r="P45" s="540">
        <v>2014</v>
      </c>
      <c r="Q45" s="607">
        <v>2051</v>
      </c>
      <c r="U45" s="935"/>
      <c r="V45" s="935"/>
      <c r="W45" s="935"/>
      <c r="X45" s="935"/>
      <c r="Y45" s="935"/>
    </row>
    <row r="46" spans="4:26">
      <c r="K46" s="552" t="s">
        <v>930</v>
      </c>
      <c r="L46" s="434">
        <v>0</v>
      </c>
      <c r="M46" s="435">
        <v>0</v>
      </c>
      <c r="N46" s="435">
        <v>0</v>
      </c>
      <c r="O46" s="435">
        <v>0</v>
      </c>
      <c r="P46" s="435">
        <v>0</v>
      </c>
      <c r="Q46" s="436"/>
      <c r="Y46" s="415"/>
    </row>
    <row r="47" spans="4:26">
      <c r="K47" s="552" t="s">
        <v>335</v>
      </c>
      <c r="L47" s="434">
        <v>0</v>
      </c>
      <c r="M47" s="435">
        <v>0</v>
      </c>
      <c r="N47" s="435">
        <v>0</v>
      </c>
      <c r="O47" s="435">
        <v>0</v>
      </c>
      <c r="P47" s="435">
        <v>0</v>
      </c>
      <c r="Q47" s="436"/>
    </row>
    <row r="48" spans="4:26">
      <c r="K48" s="552" t="s">
        <v>336</v>
      </c>
      <c r="L48" s="434">
        <f>ER!P35</f>
        <v>9520.8259166963326</v>
      </c>
      <c r="M48" s="435">
        <f>ER!O35</f>
        <v>11856.878012606599</v>
      </c>
      <c r="N48" s="435">
        <f>ER!N35</f>
        <v>17274.794198353586</v>
      </c>
      <c r="O48" s="435">
        <f>ER!M35</f>
        <v>18495.708154506439</v>
      </c>
      <c r="P48" s="435">
        <f>ER!L35</f>
        <v>16694.983277591971</v>
      </c>
      <c r="Q48" s="436">
        <f>ER!K35</f>
        <v>15907.624633431084</v>
      </c>
    </row>
    <row r="49" spans="11:17">
      <c r="K49" s="552" t="s">
        <v>337</v>
      </c>
      <c r="L49" s="434">
        <f>ER!P36</f>
        <v>10831.2566749733</v>
      </c>
      <c r="M49" s="435">
        <f>ER!O36</f>
        <v>9977.0114942528726</v>
      </c>
      <c r="N49" s="435">
        <f>ER!N36</f>
        <v>15127.793022344178</v>
      </c>
      <c r="O49" s="435">
        <f>ER!M36</f>
        <v>15324.39198855508</v>
      </c>
      <c r="P49" s="435">
        <f>ER!L36</f>
        <v>13863.210702341135</v>
      </c>
      <c r="Q49" s="436">
        <f>ER!K36</f>
        <v>12563.636363636364</v>
      </c>
    </row>
    <row r="50" spans="11:17">
      <c r="K50" s="552" t="s">
        <v>343</v>
      </c>
      <c r="L50" s="434">
        <f>ER!P37</f>
        <v>0</v>
      </c>
      <c r="M50" s="435">
        <f>ER!O37</f>
        <v>0</v>
      </c>
      <c r="N50" s="435">
        <f>ER!N37</f>
        <v>0</v>
      </c>
      <c r="O50" s="435">
        <f>ER!M37</f>
        <v>0</v>
      </c>
      <c r="P50" s="435">
        <f>ER!L37</f>
        <v>6.3545150501672234</v>
      </c>
      <c r="Q50" s="436">
        <f>ER!K37</f>
        <v>0</v>
      </c>
    </row>
    <row r="51" spans="11:17">
      <c r="K51" s="552" t="s">
        <v>338</v>
      </c>
      <c r="L51" s="434">
        <f>ER!P38</f>
        <v>128.15948736205056</v>
      </c>
      <c r="M51" s="435">
        <f>ER!O38</f>
        <v>120.50426399703373</v>
      </c>
      <c r="N51" s="435">
        <f>ER!N38</f>
        <v>124.26499411995295</v>
      </c>
      <c r="O51" s="435">
        <f>ER!M38</f>
        <v>133.76251788268956</v>
      </c>
      <c r="P51" s="435">
        <f>ER!L38</f>
        <v>326.42140468227421</v>
      </c>
      <c r="Q51" s="436">
        <f>ER!K38</f>
        <v>214.07624633431084</v>
      </c>
    </row>
    <row r="52" spans="11:17">
      <c r="K52" s="552" t="s">
        <v>931</v>
      </c>
      <c r="L52" s="884">
        <f>Depreciacion!V31</f>
        <v>1402.2783908864365</v>
      </c>
      <c r="M52" s="880">
        <f>Depreciacion!W31</f>
        <v>1323.3222098628105</v>
      </c>
      <c r="N52" s="880">
        <f>Depreciacion!X31</f>
        <v>1274.4021952175617</v>
      </c>
      <c r="O52" s="880">
        <f>Depreciacion!Y31</f>
        <v>1310.4434907010016</v>
      </c>
      <c r="P52" s="880">
        <f>Depreciacion!Z31</f>
        <v>1883.9464882943143</v>
      </c>
      <c r="Q52" s="881">
        <f>Depreciacion!AA31</f>
        <v>2003.2844574780058</v>
      </c>
    </row>
    <row r="53" spans="11:17">
      <c r="K53" s="552" t="s">
        <v>932</v>
      </c>
      <c r="L53" s="434">
        <f>ER!P40</f>
        <v>647.9174083303667</v>
      </c>
      <c r="M53" s="435">
        <f>ER!O40</f>
        <v>341.8613274008157</v>
      </c>
      <c r="N53" s="435">
        <f>ER!N40</f>
        <v>234.80987847902782</v>
      </c>
      <c r="O53" s="435">
        <f>ER!M40</f>
        <v>899.85693848354799</v>
      </c>
      <c r="P53" s="435">
        <f>ER!L40</f>
        <v>1666.2207357859531</v>
      </c>
      <c r="Q53" s="436">
        <f>ER!K40</f>
        <v>796.77419354838707</v>
      </c>
    </row>
    <row r="54" spans="11:17">
      <c r="K54" s="552" t="s">
        <v>339</v>
      </c>
      <c r="L54" s="434">
        <f>ER!P41</f>
        <v>603.06158775364895</v>
      </c>
      <c r="M54" s="435">
        <f>ER!O41</f>
        <v>657.02632554690399</v>
      </c>
      <c r="N54" s="435">
        <f>ER!N41</f>
        <v>901.99921599372794</v>
      </c>
      <c r="O54" s="435">
        <f>ER!M41</f>
        <v>999.28469241773973</v>
      </c>
      <c r="P54" s="435">
        <f>ER!L41</f>
        <v>692.97658862876244</v>
      </c>
      <c r="Q54" s="436">
        <f>ER!K41</f>
        <v>798.82697947214069</v>
      </c>
    </row>
    <row r="55" spans="11:17">
      <c r="K55" s="552" t="s">
        <v>933</v>
      </c>
      <c r="L55" s="443">
        <v>0</v>
      </c>
      <c r="M55" s="444">
        <v>0</v>
      </c>
      <c r="N55" s="444">
        <v>0</v>
      </c>
      <c r="O55" s="444">
        <v>0</v>
      </c>
      <c r="P55" s="444">
        <v>0</v>
      </c>
      <c r="Q55" s="445"/>
    </row>
    <row r="56" spans="11:17" ht="15">
      <c r="K56" s="528"/>
      <c r="L56" s="443">
        <f t="shared" ref="L56:O56" si="32">SUM(L46:L55)</f>
        <v>23133.499466002133</v>
      </c>
      <c r="M56" s="444">
        <f t="shared" si="32"/>
        <v>24276.603633667037</v>
      </c>
      <c r="N56" s="444">
        <f t="shared" si="32"/>
        <v>34938.063504508034</v>
      </c>
      <c r="O56" s="444">
        <f t="shared" si="32"/>
        <v>37163.447782546507</v>
      </c>
      <c r="P56" s="444">
        <f>SUM(P46:P55)</f>
        <v>35134.113712374579</v>
      </c>
      <c r="Q56" s="445">
        <f>SUM(Q46:Q55)</f>
        <v>32284.222873900293</v>
      </c>
    </row>
    <row r="57" spans="11:17">
      <c r="L57" s="928">
        <f>L56+ER!P42</f>
        <v>0</v>
      </c>
      <c r="M57" s="928">
        <f>M56+ER!O42</f>
        <v>0</v>
      </c>
      <c r="N57" s="870">
        <f>N56+ER!N42</f>
        <v>0</v>
      </c>
      <c r="O57" s="928">
        <f>O56+ER!M42</f>
        <v>0</v>
      </c>
      <c r="P57" s="928">
        <f>P56+ER!L42</f>
        <v>0</v>
      </c>
      <c r="Q57" s="928">
        <f>Q56+ER!K42</f>
        <v>5.8651026392908534E-2</v>
      </c>
    </row>
    <row r="58" spans="11:17">
      <c r="L58" s="457"/>
      <c r="M58" s="457"/>
      <c r="N58" s="457"/>
      <c r="O58" s="457"/>
      <c r="P58" s="457"/>
      <c r="Q58" s="457"/>
    </row>
    <row r="59" spans="11:17">
      <c r="K59" s="548" t="s">
        <v>336</v>
      </c>
      <c r="L59" s="433">
        <f t="shared" ref="L59:Q65" si="33">L18+L33+L48</f>
        <v>55063.011747953009</v>
      </c>
      <c r="M59" s="433">
        <f t="shared" si="33"/>
        <v>68518.724508713378</v>
      </c>
      <c r="N59" s="433">
        <f t="shared" si="33"/>
        <v>86912.975303802421</v>
      </c>
      <c r="O59" s="433">
        <f t="shared" si="33"/>
        <v>79790.057224606586</v>
      </c>
      <c r="P59" s="433">
        <f t="shared" si="33"/>
        <v>82220.0668896321</v>
      </c>
      <c r="Q59" s="871">
        <f t="shared" si="33"/>
        <v>76105.571847507323</v>
      </c>
    </row>
    <row r="60" spans="11:17">
      <c r="K60" s="552" t="s">
        <v>337</v>
      </c>
      <c r="L60" s="435">
        <f t="shared" si="33"/>
        <v>76674.261302954779</v>
      </c>
      <c r="M60" s="435">
        <f t="shared" si="33"/>
        <v>87003.707823507604</v>
      </c>
      <c r="N60" s="435">
        <f t="shared" si="33"/>
        <v>114919.63935711485</v>
      </c>
      <c r="O60" s="435">
        <f t="shared" si="33"/>
        <v>121369.09871244637</v>
      </c>
      <c r="P60" s="435">
        <f t="shared" si="33"/>
        <v>109061.20401337792</v>
      </c>
      <c r="Q60" s="436">
        <f t="shared" si="33"/>
        <v>115736.6568914956</v>
      </c>
    </row>
    <row r="61" spans="11:17">
      <c r="K61" s="552" t="s">
        <v>343</v>
      </c>
      <c r="L61" s="435">
        <f>L21+L35+L50</f>
        <v>23162.691349234603</v>
      </c>
      <c r="M61" s="435">
        <f t="shared" si="33"/>
        <v>25873.563218390806</v>
      </c>
      <c r="N61" s="435">
        <f t="shared" si="33"/>
        <v>31832.614660917287</v>
      </c>
      <c r="O61" s="435">
        <f t="shared" si="33"/>
        <v>33043.633762517886</v>
      </c>
      <c r="P61" s="435">
        <f t="shared" si="33"/>
        <v>25370.234113712373</v>
      </c>
      <c r="Q61" s="436">
        <f t="shared" si="33"/>
        <v>29623.460410557185</v>
      </c>
    </row>
    <row r="62" spans="11:17">
      <c r="K62" s="552" t="s">
        <v>338</v>
      </c>
      <c r="L62" s="435">
        <f t="shared" si="33"/>
        <v>985.04805980776075</v>
      </c>
      <c r="M62" s="435">
        <f t="shared" si="33"/>
        <v>1073.7856878012608</v>
      </c>
      <c r="N62" s="435">
        <f t="shared" si="33"/>
        <v>1264.2101136809092</v>
      </c>
      <c r="O62" s="435">
        <f t="shared" si="33"/>
        <v>1476.3948497854078</v>
      </c>
      <c r="P62" s="435">
        <f t="shared" si="33"/>
        <v>1531.4381270903009</v>
      </c>
      <c r="Q62" s="436">
        <f t="shared" si="33"/>
        <v>1458.9442815249265</v>
      </c>
    </row>
    <row r="63" spans="11:17">
      <c r="K63" s="552" t="s">
        <v>931</v>
      </c>
      <c r="L63" s="435">
        <f t="shared" si="33"/>
        <v>27073.335706657173</v>
      </c>
      <c r="M63" s="435">
        <f t="shared" si="33"/>
        <v>35797.923618835739</v>
      </c>
      <c r="N63" s="435">
        <f t="shared" si="33"/>
        <v>43914.151313210503</v>
      </c>
      <c r="O63" s="435">
        <f t="shared" si="33"/>
        <v>42238.197424892707</v>
      </c>
      <c r="P63" s="435">
        <f t="shared" si="33"/>
        <v>44602.006688963207</v>
      </c>
      <c r="Q63" s="436">
        <f t="shared" si="33"/>
        <v>44311.847507331375</v>
      </c>
    </row>
    <row r="64" spans="11:17">
      <c r="K64" s="552" t="s">
        <v>932</v>
      </c>
      <c r="L64" s="435">
        <f t="shared" si="33"/>
        <v>659.6653613385547</v>
      </c>
      <c r="M64" s="435">
        <f t="shared" si="33"/>
        <v>347.79384501297739</v>
      </c>
      <c r="N64" s="435">
        <f t="shared" si="33"/>
        <v>234.80987847902782</v>
      </c>
      <c r="O64" s="435">
        <f t="shared" si="33"/>
        <v>903.79113018598002</v>
      </c>
      <c r="P64" s="435">
        <f t="shared" si="33"/>
        <v>1692.9765886287626</v>
      </c>
      <c r="Q64" s="436">
        <f t="shared" si="33"/>
        <v>1056.5982404692081</v>
      </c>
    </row>
    <row r="65" spans="11:17">
      <c r="K65" s="894" t="s">
        <v>339</v>
      </c>
      <c r="L65" s="444">
        <f t="shared" si="33"/>
        <v>3634.7454610181553</v>
      </c>
      <c r="M65" s="444">
        <f t="shared" si="33"/>
        <v>5033.7411939191697</v>
      </c>
      <c r="N65" s="444">
        <f t="shared" si="33"/>
        <v>5544.1003528028223</v>
      </c>
      <c r="O65" s="444">
        <f t="shared" si="33"/>
        <v>5129.4706723891286</v>
      </c>
      <c r="P65" s="444">
        <f t="shared" si="33"/>
        <v>4380.6020066889632</v>
      </c>
      <c r="Q65" s="445">
        <f t="shared" si="33"/>
        <v>4578.2991202346038</v>
      </c>
    </row>
    <row r="66" spans="11:17">
      <c r="L66" s="457"/>
      <c r="M66" s="457"/>
      <c r="N66" s="457"/>
      <c r="O66" s="457"/>
      <c r="P66" s="457"/>
      <c r="Q66" s="457"/>
    </row>
    <row r="67" spans="11:17">
      <c r="L67" s="457"/>
      <c r="M67" s="457"/>
      <c r="N67" s="457"/>
      <c r="O67" s="457"/>
      <c r="P67" s="457"/>
      <c r="Q67" s="457"/>
    </row>
    <row r="68" spans="11:17">
      <c r="M68" s="601"/>
      <c r="N68" s="601"/>
      <c r="O68" s="601"/>
      <c r="P68" s="601"/>
      <c r="Q68" s="601"/>
    </row>
    <row r="69" spans="11:17">
      <c r="L69" s="416"/>
      <c r="M69" s="416"/>
      <c r="N69" s="416"/>
      <c r="O69" s="416"/>
      <c r="P69" s="416"/>
      <c r="Q69" s="416"/>
    </row>
    <row r="70" spans="11:17">
      <c r="L70" s="416"/>
      <c r="M70" s="416"/>
      <c r="N70" s="416"/>
      <c r="O70" s="416"/>
      <c r="P70" s="416"/>
      <c r="Q70" s="416"/>
    </row>
    <row r="71" spans="11:17">
      <c r="P71" s="601"/>
      <c r="Q71" s="601"/>
    </row>
  </sheetData>
  <mergeCells count="5">
    <mergeCell ref="S7:T7"/>
    <mergeCell ref="L14:Q14"/>
    <mergeCell ref="S27:Y27"/>
    <mergeCell ref="L29:Q29"/>
    <mergeCell ref="L44:Q44"/>
  </mergeCells>
  <pageMargins left="0.7" right="0.7" top="0.75" bottom="0.75" header="0.3" footer="0.3"/>
  <pageSetup orientation="portrait" horizontalDpi="1200" verticalDpi="12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2:Q370"/>
  <sheetViews>
    <sheetView zoomScale="98" zoomScaleNormal="98" workbookViewId="0">
      <selection activeCell="L12" sqref="L12"/>
    </sheetView>
  </sheetViews>
  <sheetFormatPr baseColWidth="10" defaultRowHeight="14.25"/>
  <cols>
    <col min="1" max="1" width="6.140625" style="155" customWidth="1"/>
    <col min="2" max="2" width="11.42578125" style="155"/>
    <col min="3" max="3" width="10.5703125" style="155" customWidth="1"/>
    <col min="4" max="4" width="10.7109375" style="155" customWidth="1"/>
    <col min="5" max="5" width="11.42578125" style="155"/>
    <col min="6" max="6" width="5.5703125" style="155" customWidth="1"/>
    <col min="7" max="9" width="11.42578125" style="155"/>
    <col min="10" max="10" width="11" style="155" customWidth="1"/>
    <col min="11" max="13" width="11.42578125" style="155"/>
    <col min="14" max="14" width="24.140625" style="155" bestFit="1" customWidth="1"/>
    <col min="15" max="15" width="18.85546875" style="155" customWidth="1"/>
    <col min="16" max="16384" width="11.42578125" style="155"/>
  </cols>
  <sheetData>
    <row r="2" spans="1:17" ht="18">
      <c r="B2" s="200" t="s">
        <v>991</v>
      </c>
    </row>
    <row r="4" spans="1:17">
      <c r="B4" s="155" t="s">
        <v>914</v>
      </c>
      <c r="C4" s="155" t="s">
        <v>992</v>
      </c>
    </row>
    <row r="5" spans="1:17">
      <c r="B5" s="155" t="s">
        <v>993</v>
      </c>
      <c r="C5" s="155" t="s">
        <v>994</v>
      </c>
    </row>
    <row r="7" spans="1:17">
      <c r="B7" s="936" t="s">
        <v>995</v>
      </c>
      <c r="C7" s="591">
        <v>2204.62</v>
      </c>
      <c r="D7" s="155" t="s">
        <v>996</v>
      </c>
      <c r="G7" s="937" t="s">
        <v>997</v>
      </c>
      <c r="H7" s="937" t="s">
        <v>998</v>
      </c>
      <c r="I7" s="937" t="s">
        <v>999</v>
      </c>
    </row>
    <row r="8" spans="1:17">
      <c r="B8" s="936" t="s">
        <v>1000</v>
      </c>
      <c r="C8" s="591">
        <v>100</v>
      </c>
      <c r="D8" s="155" t="s">
        <v>997</v>
      </c>
      <c r="G8" s="591" t="s">
        <v>996</v>
      </c>
      <c r="H8" s="591" t="s">
        <v>1001</v>
      </c>
      <c r="I8" s="591" t="s">
        <v>1002</v>
      </c>
    </row>
    <row r="9" spans="1:17" ht="15" thickBot="1">
      <c r="B9" s="936"/>
      <c r="E9" s="591"/>
      <c r="F9" s="591"/>
      <c r="G9" s="591"/>
    </row>
    <row r="10" spans="1:17" ht="72">
      <c r="B10" s="44" t="s">
        <v>1003</v>
      </c>
      <c r="C10" s="44" t="s">
        <v>1004</v>
      </c>
      <c r="D10" s="44" t="s">
        <v>1005</v>
      </c>
      <c r="E10" s="44" t="s">
        <v>1006</v>
      </c>
      <c r="G10" s="45" t="s">
        <v>1007</v>
      </c>
      <c r="H10" s="45" t="s">
        <v>1005</v>
      </c>
      <c r="I10" s="45" t="s">
        <v>1006</v>
      </c>
      <c r="K10" s="55" t="s">
        <v>1471</v>
      </c>
      <c r="L10" s="55" t="s">
        <v>1472</v>
      </c>
      <c r="N10" s="938" t="s">
        <v>1469</v>
      </c>
      <c r="O10" s="938"/>
      <c r="P10" s="1480" t="s">
        <v>1470</v>
      </c>
      <c r="Q10" s="938"/>
    </row>
    <row r="11" spans="1:17">
      <c r="A11" s="155">
        <v>1986</v>
      </c>
      <c r="B11" s="46" t="s">
        <v>1008</v>
      </c>
      <c r="C11" s="47">
        <v>7.04</v>
      </c>
      <c r="D11" s="48">
        <f>ROUND(C11*($C$7/$C$8),2)</f>
        <v>155.21</v>
      </c>
      <c r="E11" s="46">
        <v>12.77</v>
      </c>
      <c r="F11" s="601"/>
      <c r="G11" s="522">
        <v>1986</v>
      </c>
      <c r="H11" s="939">
        <f>AVERAGEIFS($D$11:$D$370,$A$11:$A$370,G11)</f>
        <v>137.17099999999999</v>
      </c>
      <c r="I11" s="939">
        <f>AVERAGEIFS($E$11:$E$370,$A$11:$A$370,G11)</f>
        <v>13.135</v>
      </c>
      <c r="J11" s="934">
        <f>+H11+I11</f>
        <v>150.30599999999998</v>
      </c>
      <c r="K11" s="155" t="s">
        <v>1469</v>
      </c>
      <c r="L11" s="155" t="s">
        <v>1470</v>
      </c>
      <c r="N11" s="940"/>
      <c r="O11" s="940"/>
      <c r="P11" s="940"/>
      <c r="Q11" s="940"/>
    </row>
    <row r="12" spans="1:17">
      <c r="A12" s="155">
        <v>1986</v>
      </c>
      <c r="B12" s="49" t="s">
        <v>1009</v>
      </c>
      <c r="C12" s="50">
        <v>8.33</v>
      </c>
      <c r="D12" s="49">
        <f>ROUND(C12*($C$7/$C$8),2)</f>
        <v>183.64</v>
      </c>
      <c r="E12" s="49">
        <v>11.89</v>
      </c>
      <c r="F12" s="601"/>
      <c r="G12" s="522">
        <v>1987</v>
      </c>
      <c r="H12" s="939">
        <f t="shared" ref="H12:H41" si="0">AVERAGEIFS($D$11:$D$370,$A$11:$A$370,G12)</f>
        <v>148.95916666666665</v>
      </c>
      <c r="I12" s="939">
        <f t="shared" ref="I12:I41" si="1">AVERAGEIFS($E$11:$E$370,$A$11:$A$370,G12)</f>
        <v>18.198333333333334</v>
      </c>
      <c r="J12" s="934">
        <f t="shared" ref="J12:J41" si="2">+H12+I12</f>
        <v>167.15749999999997</v>
      </c>
      <c r="K12" s="415">
        <f t="shared" ref="K12:K40" si="3">+H12/H11-1</f>
        <v>8.5937746802652537E-2</v>
      </c>
      <c r="L12" s="415">
        <f t="shared" ref="L12:L40" si="4">+I12/I11-1</f>
        <v>0.38548407562492071</v>
      </c>
      <c r="M12" s="415">
        <f>+J12/J11-1</f>
        <v>0.11211461950953372</v>
      </c>
      <c r="N12" s="940" t="s">
        <v>1453</v>
      </c>
      <c r="O12" s="1476">
        <v>5.2892777800149587E-2</v>
      </c>
      <c r="P12" s="940" t="s">
        <v>1453</v>
      </c>
      <c r="Q12" s="1475">
        <v>6.3643864789730706E-2</v>
      </c>
    </row>
    <row r="13" spans="1:17">
      <c r="A13" s="155">
        <v>1986</v>
      </c>
      <c r="B13" s="46" t="s">
        <v>1010</v>
      </c>
      <c r="C13" s="47">
        <v>7.67</v>
      </c>
      <c r="D13" s="48">
        <f t="shared" ref="D13:D76" si="5">ROUND(C13*($C$7/$C$8),2)</f>
        <v>169.09</v>
      </c>
      <c r="E13" s="46">
        <v>13.49</v>
      </c>
      <c r="F13" s="601"/>
      <c r="G13" s="522">
        <v>1988</v>
      </c>
      <c r="H13" s="939">
        <f t="shared" si="0"/>
        <v>224.74250000000004</v>
      </c>
      <c r="I13" s="939">
        <f t="shared" si="1"/>
        <v>14.769166666666665</v>
      </c>
      <c r="J13" s="934">
        <f t="shared" si="2"/>
        <v>239.51166666666671</v>
      </c>
      <c r="K13" s="415">
        <f>+H13/H12-1</f>
        <v>0.50875239858798027</v>
      </c>
      <c r="L13" s="415">
        <f t="shared" si="4"/>
        <v>-0.18843300668559404</v>
      </c>
      <c r="M13" s="415">
        <f t="shared" ref="M13:M41" si="6">+J13/J12-1</f>
        <v>0.43285025599609206</v>
      </c>
      <c r="N13" s="940" t="s">
        <v>1454</v>
      </c>
      <c r="O13" s="940">
        <v>4.315250661107576E-2</v>
      </c>
      <c r="P13" s="940" t="s">
        <v>1454</v>
      </c>
      <c r="Q13" s="940">
        <v>4.8377642172946655E-2</v>
      </c>
    </row>
    <row r="14" spans="1:17">
      <c r="A14" s="155">
        <v>1986</v>
      </c>
      <c r="B14" s="49" t="s">
        <v>1011</v>
      </c>
      <c r="C14" s="50">
        <v>6.34</v>
      </c>
      <c r="D14" s="49">
        <f t="shared" si="5"/>
        <v>139.77000000000001</v>
      </c>
      <c r="E14" s="49">
        <v>11.95</v>
      </c>
      <c r="F14" s="601"/>
      <c r="G14" s="522">
        <v>1989</v>
      </c>
      <c r="H14" s="939">
        <f t="shared" si="0"/>
        <v>282.3191666666666</v>
      </c>
      <c r="I14" s="939">
        <f t="shared" si="1"/>
        <v>17.905833333333334</v>
      </c>
      <c r="J14" s="934">
        <f t="shared" si="2"/>
        <v>300.22499999999991</v>
      </c>
      <c r="K14" s="415">
        <f t="shared" si="3"/>
        <v>0.25618949093592258</v>
      </c>
      <c r="L14" s="415">
        <f t="shared" si="4"/>
        <v>0.21237939400778671</v>
      </c>
      <c r="M14" s="415">
        <f t="shared" si="6"/>
        <v>0.25348799988866166</v>
      </c>
      <c r="N14" s="940" t="s">
        <v>1455</v>
      </c>
      <c r="O14" s="1474">
        <v>6.3833854954934988E-2</v>
      </c>
      <c r="P14" s="940" t="s">
        <v>1455</v>
      </c>
      <c r="Q14" s="940">
        <v>5.209584018199509E-2</v>
      </c>
    </row>
    <row r="15" spans="1:17">
      <c r="A15" s="155">
        <v>1986</v>
      </c>
      <c r="B15" s="46" t="s">
        <v>1012</v>
      </c>
      <c r="C15" s="47">
        <v>5.55</v>
      </c>
      <c r="D15" s="48">
        <f t="shared" si="5"/>
        <v>122.36</v>
      </c>
      <c r="E15" s="46">
        <v>9.8800000000000008</v>
      </c>
      <c r="F15" s="601"/>
      <c r="G15" s="522">
        <v>1990</v>
      </c>
      <c r="H15" s="939">
        <f t="shared" si="0"/>
        <v>275.81583333333333</v>
      </c>
      <c r="I15" s="939">
        <f t="shared" si="1"/>
        <v>22.984999999999999</v>
      </c>
      <c r="J15" s="934">
        <f t="shared" si="2"/>
        <v>298.80083333333334</v>
      </c>
      <c r="K15" s="415">
        <f t="shared" si="3"/>
        <v>-2.3035394337968307E-2</v>
      </c>
      <c r="L15" s="415">
        <f t="shared" si="4"/>
        <v>0.2836598873737608</v>
      </c>
      <c r="M15" s="415">
        <f t="shared" si="6"/>
        <v>-4.7436644738665379E-3</v>
      </c>
      <c r="N15" s="940" t="s">
        <v>1456</v>
      </c>
      <c r="O15" s="940" t="e">
        <v>#N/A</v>
      </c>
      <c r="P15" s="940" t="s">
        <v>1456</v>
      </c>
      <c r="Q15" s="940" t="e">
        <v>#N/A</v>
      </c>
    </row>
    <row r="16" spans="1:17">
      <c r="A16" s="155">
        <v>1986</v>
      </c>
      <c r="B16" s="49" t="s">
        <v>1013</v>
      </c>
      <c r="C16" s="50">
        <v>5.57</v>
      </c>
      <c r="D16" s="49">
        <f t="shared" si="5"/>
        <v>122.8</v>
      </c>
      <c r="E16" s="49">
        <v>13.42</v>
      </c>
      <c r="F16" s="601"/>
      <c r="G16" s="522">
        <v>1991</v>
      </c>
      <c r="H16" s="939">
        <f t="shared" si="0"/>
        <v>197.90166666666667</v>
      </c>
      <c r="I16" s="939">
        <f t="shared" si="1"/>
        <v>19.3675</v>
      </c>
      <c r="J16" s="934">
        <f t="shared" si="2"/>
        <v>217.26916666666668</v>
      </c>
      <c r="K16" s="415">
        <f t="shared" si="3"/>
        <v>-0.28248620003081759</v>
      </c>
      <c r="L16" s="415">
        <f t="shared" si="4"/>
        <v>-0.15738525125081571</v>
      </c>
      <c r="M16" s="415">
        <f t="shared" si="6"/>
        <v>-0.27286291593341161</v>
      </c>
      <c r="N16" s="940" t="s">
        <v>1457</v>
      </c>
      <c r="O16" s="1477">
        <v>0.23635601283777005</v>
      </c>
      <c r="P16" s="940" t="s">
        <v>1457</v>
      </c>
      <c r="Q16" s="940">
        <v>0.26497525897036123</v>
      </c>
    </row>
    <row r="17" spans="1:17">
      <c r="A17" s="155">
        <v>1986</v>
      </c>
      <c r="B17" s="46" t="s">
        <v>1014</v>
      </c>
      <c r="C17" s="47">
        <v>4.68</v>
      </c>
      <c r="D17" s="48">
        <f t="shared" si="5"/>
        <v>103.18</v>
      </c>
      <c r="E17" s="46">
        <v>14.03</v>
      </c>
      <c r="F17" s="601"/>
      <c r="G17" s="522">
        <v>1992</v>
      </c>
      <c r="H17" s="939">
        <f t="shared" si="0"/>
        <v>199.94166666666663</v>
      </c>
      <c r="I17" s="939">
        <f t="shared" si="1"/>
        <v>19.035833333333333</v>
      </c>
      <c r="J17" s="934">
        <f t="shared" si="2"/>
        <v>218.97749999999996</v>
      </c>
      <c r="K17" s="415">
        <f t="shared" si="3"/>
        <v>1.0308149670290589E-2</v>
      </c>
      <c r="L17" s="415">
        <f t="shared" si="4"/>
        <v>-1.712490856675708E-2</v>
      </c>
      <c r="M17" s="415">
        <f t="shared" si="6"/>
        <v>7.8627508888742259E-3</v>
      </c>
      <c r="N17" s="940" t="s">
        <v>1458</v>
      </c>
      <c r="O17" s="940">
        <v>5.5864164804568121E-2</v>
      </c>
      <c r="P17" s="940" t="s">
        <v>1458</v>
      </c>
      <c r="Q17" s="940">
        <v>7.021188786641E-2</v>
      </c>
    </row>
    <row r="18" spans="1:17">
      <c r="A18" s="155">
        <v>1986</v>
      </c>
      <c r="B18" s="49" t="s">
        <v>1015</v>
      </c>
      <c r="C18" s="50">
        <v>5.39</v>
      </c>
      <c r="D18" s="49">
        <f t="shared" si="5"/>
        <v>118.83</v>
      </c>
      <c r="E18" s="49">
        <v>14.01</v>
      </c>
      <c r="F18" s="601"/>
      <c r="G18" s="522">
        <v>1993</v>
      </c>
      <c r="H18" s="939">
        <f t="shared" si="0"/>
        <v>220.905</v>
      </c>
      <c r="I18" s="939">
        <f t="shared" si="1"/>
        <v>16.786666666666665</v>
      </c>
      <c r="J18" s="934">
        <f t="shared" si="2"/>
        <v>237.69166666666666</v>
      </c>
      <c r="K18" s="415">
        <f t="shared" si="3"/>
        <v>0.1048472471137416</v>
      </c>
      <c r="L18" s="415">
        <f t="shared" si="4"/>
        <v>-0.11815435800901808</v>
      </c>
      <c r="M18" s="415">
        <f t="shared" si="6"/>
        <v>8.5461596130500528E-2</v>
      </c>
      <c r="N18" s="940" t="s">
        <v>1459</v>
      </c>
      <c r="O18" s="940">
        <v>-0.76858301297023779</v>
      </c>
      <c r="P18" s="940" t="s">
        <v>1459</v>
      </c>
      <c r="Q18" s="940">
        <v>-0.61669456503480546</v>
      </c>
    </row>
    <row r="19" spans="1:17">
      <c r="A19" s="155">
        <v>1986</v>
      </c>
      <c r="B19" s="46" t="s">
        <v>1016</v>
      </c>
      <c r="C19" s="47">
        <v>5.95</v>
      </c>
      <c r="D19" s="48">
        <f t="shared" si="5"/>
        <v>131.16999999999999</v>
      </c>
      <c r="E19" s="46">
        <v>14.47</v>
      </c>
      <c r="F19" s="601"/>
      <c r="G19" s="522">
        <v>1994</v>
      </c>
      <c r="H19" s="939">
        <f t="shared" si="0"/>
        <v>266.9425</v>
      </c>
      <c r="I19" s="939">
        <f t="shared" si="1"/>
        <v>15.948333333333332</v>
      </c>
      <c r="J19" s="934">
        <f t="shared" si="2"/>
        <v>282.89083333333332</v>
      </c>
      <c r="K19" s="415">
        <f t="shared" si="3"/>
        <v>0.20840406509585563</v>
      </c>
      <c r="L19" s="415">
        <f t="shared" si="4"/>
        <v>-4.9940428911834811E-2</v>
      </c>
      <c r="M19" s="415">
        <f t="shared" si="6"/>
        <v>0.1901588191985415</v>
      </c>
      <c r="N19" s="940" t="s">
        <v>1460</v>
      </c>
      <c r="O19" s="940">
        <v>0.18075765803917682</v>
      </c>
      <c r="P19" s="940" t="s">
        <v>1460</v>
      </c>
      <c r="Q19" s="940">
        <v>-0.22447206298021016</v>
      </c>
    </row>
    <row r="20" spans="1:17">
      <c r="A20" s="155">
        <v>1986</v>
      </c>
      <c r="B20" s="49" t="s">
        <v>1017</v>
      </c>
      <c r="C20" s="50">
        <v>5.7</v>
      </c>
      <c r="D20" s="49">
        <f t="shared" si="5"/>
        <v>125.66</v>
      </c>
      <c r="E20" s="49">
        <v>15.44</v>
      </c>
      <c r="F20" s="601"/>
      <c r="G20" s="522">
        <v>1995</v>
      </c>
      <c r="H20" s="939">
        <f t="shared" si="0"/>
        <v>292.73666666666662</v>
      </c>
      <c r="I20" s="939">
        <f t="shared" si="1"/>
        <v>17.204166666666669</v>
      </c>
      <c r="J20" s="934">
        <f t="shared" si="2"/>
        <v>309.94083333333327</v>
      </c>
      <c r="K20" s="415">
        <f t="shared" si="3"/>
        <v>9.6628175231245006E-2</v>
      </c>
      <c r="L20" s="415">
        <f t="shared" si="4"/>
        <v>7.8743860382485265E-2</v>
      </c>
      <c r="M20" s="415">
        <f t="shared" si="6"/>
        <v>9.561992405786679E-2</v>
      </c>
      <c r="N20" s="940" t="s">
        <v>1461</v>
      </c>
      <c r="O20" s="940">
        <v>0.83547241821832652</v>
      </c>
      <c r="P20" s="940" t="s">
        <v>1461</v>
      </c>
      <c r="Q20" s="940">
        <v>1.0424910363891406</v>
      </c>
    </row>
    <row r="21" spans="1:17">
      <c r="A21" s="155">
        <v>1987</v>
      </c>
      <c r="B21" s="46" t="s">
        <v>1018</v>
      </c>
      <c r="C21" s="47">
        <v>6.48</v>
      </c>
      <c r="D21" s="48">
        <f t="shared" si="5"/>
        <v>142.86000000000001</v>
      </c>
      <c r="E21" s="46">
        <v>18.100000000000001</v>
      </c>
      <c r="F21" s="601"/>
      <c r="G21" s="522">
        <v>1996</v>
      </c>
      <c r="H21" s="939">
        <f t="shared" si="0"/>
        <v>263.56250000000006</v>
      </c>
      <c r="I21" s="939">
        <f t="shared" si="1"/>
        <v>20.373333333333335</v>
      </c>
      <c r="J21" s="934">
        <f t="shared" si="2"/>
        <v>283.93583333333339</v>
      </c>
      <c r="K21" s="415">
        <f t="shared" si="3"/>
        <v>-9.9660104075334766E-2</v>
      </c>
      <c r="L21" s="415">
        <f t="shared" si="4"/>
        <v>0.18420925163477841</v>
      </c>
      <c r="M21" s="415">
        <f t="shared" si="6"/>
        <v>-8.3903110539914505E-2</v>
      </c>
      <c r="N21" s="940" t="s">
        <v>1462</v>
      </c>
      <c r="O21" s="940">
        <v>-0.32672001963034625</v>
      </c>
      <c r="P21" s="940" t="s">
        <v>1462</v>
      </c>
      <c r="Q21" s="940">
        <v>-0.47225421013896707</v>
      </c>
    </row>
    <row r="22" spans="1:17">
      <c r="A22" s="155">
        <v>1987</v>
      </c>
      <c r="B22" s="49" t="s">
        <v>1019</v>
      </c>
      <c r="C22" s="50">
        <v>7.39</v>
      </c>
      <c r="D22" s="49">
        <f t="shared" si="5"/>
        <v>162.91999999999999</v>
      </c>
      <c r="E22" s="49">
        <v>17.28</v>
      </c>
      <c r="F22" s="601"/>
      <c r="G22" s="522">
        <v>1997</v>
      </c>
      <c r="H22" s="939">
        <f t="shared" si="0"/>
        <v>251.36166666666668</v>
      </c>
      <c r="I22" s="939">
        <f t="shared" si="1"/>
        <v>19.267499999999998</v>
      </c>
      <c r="J22" s="934">
        <f t="shared" si="2"/>
        <v>270.62916666666666</v>
      </c>
      <c r="K22" s="415">
        <f t="shared" si="3"/>
        <v>-4.6291992727847786E-2</v>
      </c>
      <c r="L22" s="415">
        <f t="shared" si="4"/>
        <v>-5.4278468586387629E-2</v>
      </c>
      <c r="M22" s="415">
        <f t="shared" si="6"/>
        <v>-4.6865048734602843E-2</v>
      </c>
      <c r="N22" s="940" t="s">
        <v>1463</v>
      </c>
      <c r="O22" s="940">
        <v>0.50875239858798027</v>
      </c>
      <c r="P22" s="940" t="s">
        <v>1463</v>
      </c>
      <c r="Q22" s="940">
        <v>0.57023682625017358</v>
      </c>
    </row>
    <row r="23" spans="1:17">
      <c r="A23" s="155">
        <v>1987</v>
      </c>
      <c r="B23" s="46" t="s">
        <v>1020</v>
      </c>
      <c r="C23" s="47">
        <v>7.56</v>
      </c>
      <c r="D23" s="48">
        <f t="shared" si="5"/>
        <v>166.67</v>
      </c>
      <c r="E23" s="46">
        <v>17.739999999999998</v>
      </c>
      <c r="F23" s="601"/>
      <c r="G23" s="522">
        <v>1998</v>
      </c>
      <c r="H23" s="939">
        <f t="shared" si="0"/>
        <v>196.61416666666665</v>
      </c>
      <c r="I23" s="939">
        <f t="shared" si="1"/>
        <v>13.074166666666665</v>
      </c>
      <c r="J23" s="934">
        <f t="shared" si="2"/>
        <v>209.6883333333333</v>
      </c>
      <c r="K23" s="415">
        <f t="shared" si="3"/>
        <v>-0.21780369586982906</v>
      </c>
      <c r="L23" s="415">
        <f t="shared" si="4"/>
        <v>-0.32143938410968387</v>
      </c>
      <c r="M23" s="415">
        <f t="shared" si="6"/>
        <v>-0.22518206032239696</v>
      </c>
      <c r="N23" s="940" t="s">
        <v>1464</v>
      </c>
      <c r="O23" s="940">
        <v>1.5867833340044877</v>
      </c>
      <c r="P23" s="940" t="s">
        <v>1464</v>
      </c>
      <c r="Q23" s="940">
        <v>1.9093159436919214</v>
      </c>
    </row>
    <row r="24" spans="1:17">
      <c r="A24" s="155">
        <v>1987</v>
      </c>
      <c r="B24" s="49" t="s">
        <v>1021</v>
      </c>
      <c r="C24" s="50">
        <v>6.68</v>
      </c>
      <c r="D24" s="49">
        <f t="shared" si="5"/>
        <v>147.27000000000001</v>
      </c>
      <c r="E24" s="49">
        <v>18.05</v>
      </c>
      <c r="F24" s="601"/>
      <c r="G24" s="522">
        <v>1999</v>
      </c>
      <c r="H24" s="939">
        <f t="shared" si="0"/>
        <v>138.11999999999998</v>
      </c>
      <c r="I24" s="939">
        <f t="shared" si="1"/>
        <v>17.980833333333333</v>
      </c>
      <c r="J24" s="934">
        <f t="shared" si="2"/>
        <v>156.1008333333333</v>
      </c>
      <c r="K24" s="415">
        <f t="shared" si="3"/>
        <v>-0.29750738544611488</v>
      </c>
      <c r="L24" s="415">
        <f t="shared" si="4"/>
        <v>0.37529479252979803</v>
      </c>
      <c r="M24" s="415">
        <f t="shared" si="6"/>
        <v>-0.25555785173233292</v>
      </c>
      <c r="N24" s="940" t="s">
        <v>1465</v>
      </c>
      <c r="O24" s="940">
        <v>30</v>
      </c>
      <c r="P24" s="940" t="s">
        <v>1465</v>
      </c>
      <c r="Q24" s="940">
        <v>30</v>
      </c>
    </row>
    <row r="25" spans="1:17">
      <c r="A25" s="155">
        <v>1987</v>
      </c>
      <c r="B25" s="46" t="s">
        <v>1022</v>
      </c>
      <c r="C25" s="47">
        <v>6.71</v>
      </c>
      <c r="D25" s="48">
        <f t="shared" si="5"/>
        <v>147.93</v>
      </c>
      <c r="E25" s="46">
        <v>18.41</v>
      </c>
      <c r="F25" s="601"/>
      <c r="G25" s="522">
        <v>2000</v>
      </c>
      <c r="H25" s="939">
        <f t="shared" si="0"/>
        <v>178.11583333333337</v>
      </c>
      <c r="I25" s="939">
        <f t="shared" si="1"/>
        <v>28.234166666666663</v>
      </c>
      <c r="J25" s="934">
        <f t="shared" si="2"/>
        <v>206.35000000000002</v>
      </c>
      <c r="K25" s="415">
        <f t="shared" si="3"/>
        <v>0.28957307655179121</v>
      </c>
      <c r="L25" s="415">
        <f t="shared" si="4"/>
        <v>0.57023682625017358</v>
      </c>
      <c r="M25" s="415">
        <f t="shared" si="6"/>
        <v>0.32190197575285251</v>
      </c>
      <c r="N25" s="940" t="s">
        <v>1466</v>
      </c>
      <c r="O25" s="940">
        <v>0.50875239858798027</v>
      </c>
      <c r="P25" s="940" t="s">
        <v>1466</v>
      </c>
      <c r="Q25" s="940">
        <v>0.57023682625017358</v>
      </c>
    </row>
    <row r="26" spans="1:17">
      <c r="A26" s="155">
        <v>1987</v>
      </c>
      <c r="B26" s="49" t="s">
        <v>1023</v>
      </c>
      <c r="C26" s="50">
        <v>6.44</v>
      </c>
      <c r="D26" s="49">
        <f t="shared" si="5"/>
        <v>141.97999999999999</v>
      </c>
      <c r="E26" s="49">
        <v>18.71</v>
      </c>
      <c r="F26" s="601"/>
      <c r="G26" s="522">
        <v>2001</v>
      </c>
      <c r="H26" s="939">
        <f t="shared" si="0"/>
        <v>181.47416666666666</v>
      </c>
      <c r="I26" s="939">
        <f t="shared" si="1"/>
        <v>24.330833333333331</v>
      </c>
      <c r="J26" s="934">
        <f t="shared" si="2"/>
        <v>205.80500000000001</v>
      </c>
      <c r="K26" s="415">
        <f t="shared" si="3"/>
        <v>1.8854771473619358E-2</v>
      </c>
      <c r="L26" s="415">
        <f t="shared" si="4"/>
        <v>-0.13824857589799588</v>
      </c>
      <c r="M26" s="415">
        <f t="shared" si="6"/>
        <v>-2.64114368790902E-3</v>
      </c>
      <c r="N26" s="940" t="s">
        <v>1467</v>
      </c>
      <c r="O26" s="940">
        <v>-0.32672001963034625</v>
      </c>
      <c r="P26" s="940" t="s">
        <v>1467</v>
      </c>
      <c r="Q26" s="940">
        <v>-0.47225421013896707</v>
      </c>
    </row>
    <row r="27" spans="1:17" ht="15" thickBot="1">
      <c r="A27" s="155">
        <v>1987</v>
      </c>
      <c r="B27" s="46" t="s">
        <v>1024</v>
      </c>
      <c r="C27" s="47">
        <v>6.1</v>
      </c>
      <c r="D27" s="48">
        <f t="shared" si="5"/>
        <v>134.47999999999999</v>
      </c>
      <c r="E27" s="46">
        <v>19.62</v>
      </c>
      <c r="F27" s="601"/>
      <c r="G27" s="522">
        <v>2002</v>
      </c>
      <c r="H27" s="939">
        <f t="shared" si="0"/>
        <v>137.49499999999998</v>
      </c>
      <c r="I27" s="939">
        <f t="shared" si="1"/>
        <v>24.95</v>
      </c>
      <c r="J27" s="934">
        <f t="shared" si="2"/>
        <v>162.44499999999996</v>
      </c>
      <c r="K27" s="415">
        <f t="shared" si="3"/>
        <v>-0.24234395161845823</v>
      </c>
      <c r="L27" s="415">
        <f t="shared" si="4"/>
        <v>2.5447819981504916E-2</v>
      </c>
      <c r="M27" s="415">
        <f t="shared" si="6"/>
        <v>-0.21068487160175919</v>
      </c>
      <c r="N27" s="941" t="s">
        <v>1468</v>
      </c>
      <c r="O27" s="941">
        <v>8.8256785653299599E-2</v>
      </c>
      <c r="P27" s="941" t="s">
        <v>1468</v>
      </c>
      <c r="Q27" s="941">
        <v>9.8943387788599665E-2</v>
      </c>
    </row>
    <row r="28" spans="1:17">
      <c r="A28" s="155">
        <v>1987</v>
      </c>
      <c r="B28" s="49" t="s">
        <v>1025</v>
      </c>
      <c r="C28" s="50">
        <v>5.62</v>
      </c>
      <c r="D28" s="49">
        <f t="shared" si="5"/>
        <v>123.9</v>
      </c>
      <c r="E28" s="49">
        <v>18.88</v>
      </c>
      <c r="F28" s="601"/>
      <c r="G28" s="522">
        <v>2003</v>
      </c>
      <c r="H28" s="939">
        <f t="shared" si="0"/>
        <v>152.65166666666667</v>
      </c>
      <c r="I28" s="939">
        <f t="shared" si="1"/>
        <v>28.891666666666666</v>
      </c>
      <c r="J28" s="934">
        <f t="shared" si="2"/>
        <v>181.54333333333335</v>
      </c>
      <c r="K28" s="415">
        <f t="shared" si="3"/>
        <v>0.11023431155072339</v>
      </c>
      <c r="L28" s="415">
        <f t="shared" si="4"/>
        <v>0.15798263193052775</v>
      </c>
      <c r="M28" s="415">
        <f t="shared" si="6"/>
        <v>0.11756799737347023</v>
      </c>
    </row>
    <row r="29" spans="1:17">
      <c r="A29" s="155">
        <v>1987</v>
      </c>
      <c r="B29" s="46" t="s">
        <v>1026</v>
      </c>
      <c r="C29" s="47">
        <v>5.82</v>
      </c>
      <c r="D29" s="48">
        <f t="shared" si="5"/>
        <v>128.31</v>
      </c>
      <c r="E29" s="46">
        <v>18.32</v>
      </c>
      <c r="F29" s="601"/>
      <c r="G29" s="522">
        <v>2004</v>
      </c>
      <c r="H29" s="939">
        <f t="shared" si="0"/>
        <v>166.3391666666667</v>
      </c>
      <c r="I29" s="939">
        <f t="shared" si="1"/>
        <v>37.76</v>
      </c>
      <c r="J29" s="934">
        <f t="shared" si="2"/>
        <v>204.09916666666669</v>
      </c>
      <c r="K29" s="415">
        <f t="shared" si="3"/>
        <v>8.9664923409505493E-2</v>
      </c>
      <c r="L29" s="415">
        <f t="shared" si="4"/>
        <v>0.3069512546870492</v>
      </c>
      <c r="M29" s="415">
        <f t="shared" si="6"/>
        <v>0.12424490020748036</v>
      </c>
      <c r="N29" s="155">
        <f>0.05*0.4</f>
        <v>2.0000000000000004E-2</v>
      </c>
    </row>
    <row r="30" spans="1:17">
      <c r="A30" s="155">
        <v>1987</v>
      </c>
      <c r="B30" s="49" t="s">
        <v>1027</v>
      </c>
      <c r="C30" s="50">
        <v>6.65</v>
      </c>
      <c r="D30" s="49">
        <f t="shared" si="5"/>
        <v>146.61000000000001</v>
      </c>
      <c r="E30" s="49">
        <v>18.63</v>
      </c>
      <c r="F30" s="601"/>
      <c r="G30" s="522">
        <v>2005</v>
      </c>
      <c r="H30" s="939">
        <f t="shared" si="0"/>
        <v>222.02333333333331</v>
      </c>
      <c r="I30" s="939">
        <f t="shared" si="1"/>
        <v>53.354166666666664</v>
      </c>
      <c r="J30" s="934">
        <f t="shared" si="2"/>
        <v>275.3775</v>
      </c>
      <c r="K30" s="415">
        <f t="shared" si="3"/>
        <v>0.33476280891952648</v>
      </c>
      <c r="L30" s="415">
        <f t="shared" si="4"/>
        <v>0.41298110875706207</v>
      </c>
      <c r="M30" s="415">
        <f t="shared" si="6"/>
        <v>0.34923382832691607</v>
      </c>
    </row>
    <row r="31" spans="1:17">
      <c r="A31" s="155">
        <v>1987</v>
      </c>
      <c r="B31" s="46" t="s">
        <v>1028</v>
      </c>
      <c r="C31" s="47">
        <v>7.33</v>
      </c>
      <c r="D31" s="48">
        <f t="shared" si="5"/>
        <v>161.6</v>
      </c>
      <c r="E31" s="46">
        <v>17.87</v>
      </c>
      <c r="F31" s="601"/>
      <c r="G31" s="522">
        <v>2006</v>
      </c>
      <c r="H31" s="939">
        <f t="shared" si="0"/>
        <v>326.02583333333331</v>
      </c>
      <c r="I31" s="939">
        <f t="shared" si="1"/>
        <v>64.272500000000008</v>
      </c>
      <c r="J31" s="934">
        <f t="shared" si="2"/>
        <v>390.29833333333329</v>
      </c>
      <c r="K31" s="415">
        <f t="shared" si="3"/>
        <v>0.46843049529328762</v>
      </c>
      <c r="L31" s="415">
        <f t="shared" si="4"/>
        <v>0.20463881296368625</v>
      </c>
      <c r="M31" s="415">
        <f t="shared" si="6"/>
        <v>0.4173210713777753</v>
      </c>
    </row>
    <row r="32" spans="1:17">
      <c r="A32" s="155">
        <v>1987</v>
      </c>
      <c r="B32" s="49" t="s">
        <v>1029</v>
      </c>
      <c r="C32" s="50">
        <v>8.3000000000000007</v>
      </c>
      <c r="D32" s="49">
        <f t="shared" si="5"/>
        <v>182.98</v>
      </c>
      <c r="E32" s="49">
        <v>16.77</v>
      </c>
      <c r="F32" s="601"/>
      <c r="G32" s="522">
        <v>2007</v>
      </c>
      <c r="H32" s="939">
        <f t="shared" si="0"/>
        <v>219.50666666666666</v>
      </c>
      <c r="I32" s="939">
        <f t="shared" si="1"/>
        <v>71.127499999999998</v>
      </c>
      <c r="J32" s="934">
        <f t="shared" si="2"/>
        <v>290.63416666666666</v>
      </c>
      <c r="K32" s="415">
        <f t="shared" si="3"/>
        <v>-0.32672001963034625</v>
      </c>
      <c r="L32" s="415">
        <f t="shared" si="4"/>
        <v>0.10665525691392097</v>
      </c>
      <c r="M32" s="415">
        <f t="shared" si="6"/>
        <v>-0.25535381054663309</v>
      </c>
    </row>
    <row r="33" spans="1:13">
      <c r="A33" s="155">
        <v>1988</v>
      </c>
      <c r="B33" s="46" t="s">
        <v>1030</v>
      </c>
      <c r="C33" s="47">
        <v>9.67</v>
      </c>
      <c r="D33" s="48">
        <f t="shared" si="5"/>
        <v>213.19</v>
      </c>
      <c r="E33" s="46">
        <v>16.5</v>
      </c>
      <c r="F33" s="601"/>
      <c r="G33" s="522">
        <v>2008</v>
      </c>
      <c r="H33" s="939">
        <f t="shared" si="0"/>
        <v>274.53083333333336</v>
      </c>
      <c r="I33" s="939">
        <f t="shared" si="1"/>
        <v>97.034999999999982</v>
      </c>
      <c r="J33" s="934">
        <f t="shared" si="2"/>
        <v>371.56583333333333</v>
      </c>
      <c r="K33" s="415">
        <f t="shared" si="3"/>
        <v>0.25067196136791603</v>
      </c>
      <c r="L33" s="415">
        <f t="shared" si="4"/>
        <v>0.36424027274963944</v>
      </c>
      <c r="M33" s="415">
        <f t="shared" si="6"/>
        <v>0.27846576882162855</v>
      </c>
    </row>
    <row r="34" spans="1:13">
      <c r="A34" s="155">
        <v>1988</v>
      </c>
      <c r="B34" s="49" t="s">
        <v>1031</v>
      </c>
      <c r="C34" s="50">
        <v>8.43</v>
      </c>
      <c r="D34" s="49">
        <f t="shared" si="5"/>
        <v>185.85</v>
      </c>
      <c r="E34" s="49">
        <v>15.9</v>
      </c>
      <c r="F34" s="601"/>
      <c r="G34" s="522">
        <v>2009</v>
      </c>
      <c r="H34" s="939">
        <f t="shared" si="0"/>
        <v>400.13749999999999</v>
      </c>
      <c r="I34" s="939">
        <f t="shared" si="1"/>
        <v>61.775833333333338</v>
      </c>
      <c r="J34" s="934">
        <f t="shared" si="2"/>
        <v>461.9133333333333</v>
      </c>
      <c r="K34" s="882">
        <f t="shared" si="3"/>
        <v>0.45753209263076067</v>
      </c>
      <c r="L34" s="415">
        <f t="shared" si="4"/>
        <v>-0.36336545232819761</v>
      </c>
      <c r="M34" s="415">
        <f t="shared" si="6"/>
        <v>0.24315341157578607</v>
      </c>
    </row>
    <row r="35" spans="1:13">
      <c r="A35" s="155">
        <v>1988</v>
      </c>
      <c r="B35" s="46" t="s">
        <v>1032</v>
      </c>
      <c r="C35" s="47">
        <v>8.52</v>
      </c>
      <c r="D35" s="48">
        <f t="shared" si="5"/>
        <v>187.83</v>
      </c>
      <c r="E35" s="46">
        <v>14.86</v>
      </c>
      <c r="F35" s="601"/>
      <c r="G35" s="522">
        <v>2010</v>
      </c>
      <c r="H35" s="939">
        <f t="shared" si="0"/>
        <v>460.58249999999998</v>
      </c>
      <c r="I35" s="939">
        <f t="shared" si="1"/>
        <v>79.03166666666668</v>
      </c>
      <c r="J35" s="934">
        <f t="shared" si="2"/>
        <v>539.61416666666662</v>
      </c>
      <c r="K35" s="415">
        <f t="shared" si="3"/>
        <v>0.15106057292805586</v>
      </c>
      <c r="L35" s="415">
        <f t="shared" si="4"/>
        <v>0.27932983502178588</v>
      </c>
      <c r="M35" s="415">
        <f t="shared" si="6"/>
        <v>0.16821517745031533</v>
      </c>
    </row>
    <row r="36" spans="1:13">
      <c r="A36" s="155">
        <v>1988</v>
      </c>
      <c r="B36" s="49" t="s">
        <v>1033</v>
      </c>
      <c r="C36" s="50">
        <v>8.5399999999999991</v>
      </c>
      <c r="D36" s="49">
        <f t="shared" si="5"/>
        <v>188.27</v>
      </c>
      <c r="E36" s="49">
        <v>16.420000000000002</v>
      </c>
      <c r="F36" s="601"/>
      <c r="G36" s="522">
        <v>2011</v>
      </c>
      <c r="H36" s="939">
        <f t="shared" si="0"/>
        <v>578.39916666666659</v>
      </c>
      <c r="I36" s="939">
        <f t="shared" si="1"/>
        <v>104.00749999999999</v>
      </c>
      <c r="J36" s="934">
        <f t="shared" si="2"/>
        <v>682.40666666666652</v>
      </c>
      <c r="K36" s="415">
        <f t="shared" si="3"/>
        <v>0.25579926867969704</v>
      </c>
      <c r="L36" s="415">
        <f t="shared" si="4"/>
        <v>0.31602311309812481</v>
      </c>
      <c r="M36" s="415">
        <f t="shared" si="6"/>
        <v>0.26461962791315385</v>
      </c>
    </row>
    <row r="37" spans="1:13">
      <c r="A37" s="155">
        <v>1988</v>
      </c>
      <c r="B37" s="46" t="s">
        <v>1034</v>
      </c>
      <c r="C37" s="47">
        <v>8.9</v>
      </c>
      <c r="D37" s="48">
        <f t="shared" si="5"/>
        <v>196.21</v>
      </c>
      <c r="E37" s="46">
        <v>16.36</v>
      </c>
      <c r="F37" s="601"/>
      <c r="G37" s="522">
        <v>2012</v>
      </c>
      <c r="H37" s="939">
        <f t="shared" si="0"/>
        <v>471.25583333333333</v>
      </c>
      <c r="I37" s="939">
        <f t="shared" si="1"/>
        <v>105.00833333333334</v>
      </c>
      <c r="J37" s="934">
        <f t="shared" si="2"/>
        <v>576.26416666666671</v>
      </c>
      <c r="K37" s="415">
        <f t="shared" si="3"/>
        <v>-0.18524116130872703</v>
      </c>
      <c r="L37" s="415">
        <f t="shared" si="4"/>
        <v>9.6227034909341924E-3</v>
      </c>
      <c r="M37" s="415">
        <f t="shared" si="6"/>
        <v>-0.15554141714129377</v>
      </c>
    </row>
    <row r="38" spans="1:13">
      <c r="A38" s="155">
        <v>1988</v>
      </c>
      <c r="B38" s="49" t="s">
        <v>1035</v>
      </c>
      <c r="C38" s="50">
        <v>10.57</v>
      </c>
      <c r="D38" s="49">
        <f t="shared" si="5"/>
        <v>233.03</v>
      </c>
      <c r="E38" s="49">
        <v>15.49</v>
      </c>
      <c r="F38" s="601"/>
      <c r="G38" s="522">
        <v>2013</v>
      </c>
      <c r="H38" s="939">
        <f t="shared" si="0"/>
        <v>390.42</v>
      </c>
      <c r="I38" s="939">
        <f t="shared" si="1"/>
        <v>104.06916666666666</v>
      </c>
      <c r="J38" s="934">
        <f t="shared" si="2"/>
        <v>494.48916666666668</v>
      </c>
      <c r="K38" s="415">
        <f t="shared" si="3"/>
        <v>-0.17153280153914974</v>
      </c>
      <c r="L38" s="415">
        <f t="shared" si="4"/>
        <v>-8.9437346242362548E-3</v>
      </c>
      <c r="M38" s="415">
        <f t="shared" si="6"/>
        <v>-0.14190540507319416</v>
      </c>
    </row>
    <row r="39" spans="1:13">
      <c r="A39" s="155">
        <v>1988</v>
      </c>
      <c r="B39" s="46" t="s">
        <v>1036</v>
      </c>
      <c r="C39" s="47">
        <v>14.02</v>
      </c>
      <c r="D39" s="48">
        <f t="shared" si="5"/>
        <v>309.08999999999997</v>
      </c>
      <c r="E39" s="46">
        <v>14.47</v>
      </c>
      <c r="F39" s="601"/>
      <c r="G39" s="522">
        <v>2014</v>
      </c>
      <c r="H39" s="939">
        <f t="shared" si="0"/>
        <v>377.57750000000004</v>
      </c>
      <c r="I39" s="939">
        <f t="shared" si="1"/>
        <v>96.245833333333323</v>
      </c>
      <c r="J39" s="934">
        <f t="shared" si="2"/>
        <v>473.82333333333338</v>
      </c>
      <c r="K39" s="415">
        <f t="shared" si="3"/>
        <v>-3.2894062804159518E-2</v>
      </c>
      <c r="L39" s="415">
        <f t="shared" si="4"/>
        <v>-7.5174363203958983E-2</v>
      </c>
      <c r="M39" s="415">
        <f t="shared" si="6"/>
        <v>-4.1792287326820388E-2</v>
      </c>
    </row>
    <row r="40" spans="1:13">
      <c r="A40" s="155">
        <v>1988</v>
      </c>
      <c r="B40" s="49" t="s">
        <v>1037</v>
      </c>
      <c r="C40" s="50">
        <v>11.18</v>
      </c>
      <c r="D40" s="49">
        <f t="shared" si="5"/>
        <v>246.48</v>
      </c>
      <c r="E40" s="49">
        <v>14.57</v>
      </c>
      <c r="F40" s="601"/>
      <c r="G40" s="522">
        <v>2015</v>
      </c>
      <c r="H40" s="939">
        <f t="shared" si="0"/>
        <v>291.83666666666664</v>
      </c>
      <c r="I40" s="939">
        <f t="shared" si="1"/>
        <v>50.793333333333329</v>
      </c>
      <c r="J40" s="934">
        <f t="shared" si="2"/>
        <v>342.63</v>
      </c>
      <c r="K40" s="415">
        <f t="shared" si="3"/>
        <v>-0.22708141595654774</v>
      </c>
      <c r="L40" s="415">
        <f t="shared" si="4"/>
        <v>-0.47225421013896707</v>
      </c>
      <c r="M40" s="415">
        <f t="shared" si="6"/>
        <v>-0.27688238232252538</v>
      </c>
    </row>
    <row r="41" spans="1:13">
      <c r="A41" s="155">
        <v>1988</v>
      </c>
      <c r="B41" s="46" t="s">
        <v>1038</v>
      </c>
      <c r="C41" s="47">
        <v>10.16</v>
      </c>
      <c r="D41" s="48">
        <f t="shared" si="5"/>
        <v>223.99</v>
      </c>
      <c r="E41" s="46">
        <v>13.22</v>
      </c>
      <c r="F41" s="601"/>
      <c r="G41" s="522">
        <v>2016</v>
      </c>
      <c r="H41" s="939">
        <f t="shared" si="0"/>
        <v>304.01499999999999</v>
      </c>
      <c r="I41" s="939">
        <f t="shared" si="1"/>
        <v>30.484999999999999</v>
      </c>
      <c r="J41" s="934">
        <f t="shared" si="2"/>
        <v>334.5</v>
      </c>
      <c r="K41" s="415">
        <f>+H41/H40-1</f>
        <v>4.1729963107217438E-2</v>
      </c>
      <c r="L41" s="415">
        <f>+I41/I40-1</f>
        <v>-0.39982281139257114</v>
      </c>
      <c r="M41" s="415">
        <f t="shared" si="6"/>
        <v>-2.3728219945714057E-2</v>
      </c>
    </row>
    <row r="42" spans="1:13">
      <c r="A42" s="155">
        <v>1988</v>
      </c>
      <c r="B42" s="49" t="s">
        <v>1039</v>
      </c>
      <c r="C42" s="50">
        <v>10.28</v>
      </c>
      <c r="D42" s="49">
        <f t="shared" si="5"/>
        <v>226.63</v>
      </c>
      <c r="E42" s="49">
        <v>12.23</v>
      </c>
      <c r="F42" s="601"/>
      <c r="H42" s="530"/>
      <c r="I42" s="530"/>
      <c r="J42" s="601"/>
    </row>
    <row r="43" spans="1:13">
      <c r="A43" s="155">
        <v>1988</v>
      </c>
      <c r="B43" s="46" t="s">
        <v>1040</v>
      </c>
      <c r="C43" s="47">
        <v>10.84</v>
      </c>
      <c r="D43" s="48">
        <f t="shared" si="5"/>
        <v>238.98</v>
      </c>
      <c r="E43" s="46">
        <v>12.53</v>
      </c>
      <c r="F43" s="601"/>
      <c r="H43" s="530"/>
      <c r="I43" s="530"/>
      <c r="J43" s="601"/>
    </row>
    <row r="44" spans="1:13">
      <c r="A44" s="155">
        <v>1988</v>
      </c>
      <c r="B44" s="49" t="s">
        <v>1041</v>
      </c>
      <c r="C44" s="50">
        <v>11.22</v>
      </c>
      <c r="D44" s="49">
        <f t="shared" si="5"/>
        <v>247.36</v>
      </c>
      <c r="E44" s="49">
        <v>14.68</v>
      </c>
      <c r="F44" s="601"/>
      <c r="H44" s="530"/>
      <c r="I44" s="530"/>
    </row>
    <row r="45" spans="1:13">
      <c r="A45" s="155">
        <v>1989</v>
      </c>
      <c r="B45" s="46" t="s">
        <v>1042</v>
      </c>
      <c r="C45" s="47">
        <v>9.8000000000000007</v>
      </c>
      <c r="D45" s="48">
        <f t="shared" si="5"/>
        <v>216.05</v>
      </c>
      <c r="E45" s="46">
        <v>16.45</v>
      </c>
      <c r="F45" s="601"/>
      <c r="H45" s="530"/>
      <c r="I45" s="530"/>
    </row>
    <row r="46" spans="1:13">
      <c r="A46" s="155">
        <v>1989</v>
      </c>
      <c r="B46" s="49" t="s">
        <v>1043</v>
      </c>
      <c r="C46" s="50">
        <v>10.54</v>
      </c>
      <c r="D46" s="49">
        <f t="shared" si="5"/>
        <v>232.37</v>
      </c>
      <c r="E46" s="49">
        <v>16.52</v>
      </c>
      <c r="F46" s="601"/>
      <c r="H46" s="530"/>
      <c r="I46" s="530"/>
    </row>
    <row r="47" spans="1:13">
      <c r="A47" s="155">
        <v>1989</v>
      </c>
      <c r="B47" s="46" t="s">
        <v>1044</v>
      </c>
      <c r="C47" s="47">
        <v>11.5</v>
      </c>
      <c r="D47" s="48">
        <f t="shared" si="5"/>
        <v>253.53</v>
      </c>
      <c r="E47" s="46">
        <v>18.100000000000001</v>
      </c>
      <c r="F47" s="601"/>
      <c r="H47" s="530"/>
      <c r="I47" s="530"/>
    </row>
    <row r="48" spans="1:13">
      <c r="A48" s="155">
        <v>1989</v>
      </c>
      <c r="B48" s="49" t="s">
        <v>1045</v>
      </c>
      <c r="C48" s="50">
        <v>12.16</v>
      </c>
      <c r="D48" s="49">
        <f t="shared" si="5"/>
        <v>268.08</v>
      </c>
      <c r="E48" s="49">
        <v>19.39</v>
      </c>
      <c r="F48" s="601"/>
      <c r="H48" s="530"/>
      <c r="I48" s="530"/>
    </row>
    <row r="49" spans="1:6">
      <c r="A49" s="155">
        <v>1989</v>
      </c>
      <c r="B49" s="46" t="s">
        <v>1046</v>
      </c>
      <c r="C49" s="47">
        <v>11.98</v>
      </c>
      <c r="D49" s="48">
        <f t="shared" si="5"/>
        <v>264.11</v>
      </c>
      <c r="E49" s="46">
        <v>18.22</v>
      </c>
      <c r="F49" s="601"/>
    </row>
    <row r="50" spans="1:6">
      <c r="A50" s="155">
        <v>1989</v>
      </c>
      <c r="B50" s="49" t="s">
        <v>1047</v>
      </c>
      <c r="C50" s="50">
        <v>12.61</v>
      </c>
      <c r="D50" s="49">
        <f t="shared" si="5"/>
        <v>278</v>
      </c>
      <c r="E50" s="49">
        <v>17.8</v>
      </c>
      <c r="F50" s="601"/>
    </row>
    <row r="51" spans="1:6">
      <c r="A51" s="155">
        <v>1989</v>
      </c>
      <c r="B51" s="46" t="s">
        <v>1048</v>
      </c>
      <c r="C51" s="47">
        <v>14.01</v>
      </c>
      <c r="D51" s="48">
        <f t="shared" si="5"/>
        <v>308.87</v>
      </c>
      <c r="E51" s="46">
        <v>17.670000000000002</v>
      </c>
      <c r="F51" s="601"/>
    </row>
    <row r="52" spans="1:6">
      <c r="A52" s="155">
        <v>1989</v>
      </c>
      <c r="B52" s="49" t="s">
        <v>1049</v>
      </c>
      <c r="C52" s="50">
        <v>14.05</v>
      </c>
      <c r="D52" s="49">
        <f t="shared" si="5"/>
        <v>309.75</v>
      </c>
      <c r="E52" s="49">
        <v>16.87</v>
      </c>
      <c r="F52" s="601"/>
    </row>
    <row r="53" spans="1:6">
      <c r="A53" s="155">
        <v>1989</v>
      </c>
      <c r="B53" s="46" t="s">
        <v>1050</v>
      </c>
      <c r="C53" s="47">
        <v>14.13</v>
      </c>
      <c r="D53" s="48">
        <f t="shared" si="5"/>
        <v>311.51</v>
      </c>
      <c r="E53" s="46">
        <v>17.690000000000001</v>
      </c>
      <c r="F53" s="601"/>
    </row>
    <row r="54" spans="1:6">
      <c r="A54" s="155">
        <v>1989</v>
      </c>
      <c r="B54" s="49" t="s">
        <v>1051</v>
      </c>
      <c r="C54" s="50">
        <v>14.44</v>
      </c>
      <c r="D54" s="49">
        <f t="shared" si="5"/>
        <v>318.35000000000002</v>
      </c>
      <c r="E54" s="49">
        <v>18.41</v>
      </c>
      <c r="F54" s="601"/>
    </row>
    <row r="55" spans="1:6">
      <c r="A55" s="155">
        <v>1989</v>
      </c>
      <c r="B55" s="46" t="s">
        <v>1052</v>
      </c>
      <c r="C55" s="47">
        <v>15.02</v>
      </c>
      <c r="D55" s="48">
        <f t="shared" si="5"/>
        <v>331.13</v>
      </c>
      <c r="E55" s="46">
        <v>18.38</v>
      </c>
      <c r="F55" s="601"/>
    </row>
    <row r="56" spans="1:6">
      <c r="A56" s="155">
        <v>1989</v>
      </c>
      <c r="B56" s="49" t="s">
        <v>1053</v>
      </c>
      <c r="C56" s="50">
        <v>13.43</v>
      </c>
      <c r="D56" s="49">
        <f t="shared" si="5"/>
        <v>296.08</v>
      </c>
      <c r="E56" s="49">
        <v>19.37</v>
      </c>
      <c r="F56" s="601"/>
    </row>
    <row r="57" spans="1:6">
      <c r="A57" s="155">
        <v>1990</v>
      </c>
      <c r="B57" s="46" t="s">
        <v>1054</v>
      </c>
      <c r="C57" s="47">
        <v>14.2</v>
      </c>
      <c r="D57" s="48">
        <f t="shared" si="5"/>
        <v>313.06</v>
      </c>
      <c r="E57" s="46">
        <v>20.59</v>
      </c>
      <c r="F57" s="601"/>
    </row>
    <row r="58" spans="1:6">
      <c r="A58" s="155">
        <v>1990</v>
      </c>
      <c r="B58" s="49" t="s">
        <v>1055</v>
      </c>
      <c r="C58" s="50">
        <v>14.65</v>
      </c>
      <c r="D58" s="49">
        <f t="shared" si="5"/>
        <v>322.98</v>
      </c>
      <c r="E58" s="49">
        <v>19.68</v>
      </c>
      <c r="F58" s="601"/>
    </row>
    <row r="59" spans="1:6">
      <c r="A59" s="155">
        <v>1990</v>
      </c>
      <c r="B59" s="46" t="s">
        <v>1056</v>
      </c>
      <c r="C59" s="47">
        <v>15.31</v>
      </c>
      <c r="D59" s="48">
        <f t="shared" si="5"/>
        <v>337.53</v>
      </c>
      <c r="E59" s="46">
        <v>18.12</v>
      </c>
      <c r="F59" s="601"/>
    </row>
    <row r="60" spans="1:6">
      <c r="A60" s="155">
        <v>1990</v>
      </c>
      <c r="B60" s="49" t="s">
        <v>1057</v>
      </c>
      <c r="C60" s="50">
        <v>15.24</v>
      </c>
      <c r="D60" s="49">
        <f t="shared" si="5"/>
        <v>335.98</v>
      </c>
      <c r="E60" s="49">
        <v>16.32</v>
      </c>
      <c r="F60" s="601"/>
    </row>
    <row r="61" spans="1:6">
      <c r="A61" s="155">
        <v>1990</v>
      </c>
      <c r="B61" s="46" t="s">
        <v>1058</v>
      </c>
      <c r="C61" s="47">
        <v>14.62</v>
      </c>
      <c r="D61" s="48">
        <f t="shared" si="5"/>
        <v>322.32</v>
      </c>
      <c r="E61" s="46">
        <v>16.21</v>
      </c>
      <c r="F61" s="601"/>
    </row>
    <row r="62" spans="1:6">
      <c r="A62" s="155">
        <v>1990</v>
      </c>
      <c r="B62" s="49" t="s">
        <v>1059</v>
      </c>
      <c r="C62" s="50">
        <v>12.97</v>
      </c>
      <c r="D62" s="49">
        <f t="shared" si="5"/>
        <v>285.94</v>
      </c>
      <c r="E62" s="49">
        <v>14.93</v>
      </c>
      <c r="F62" s="601"/>
    </row>
    <row r="63" spans="1:6">
      <c r="A63" s="155">
        <v>1990</v>
      </c>
      <c r="B63" s="46" t="s">
        <v>1060</v>
      </c>
      <c r="C63" s="47">
        <v>12</v>
      </c>
      <c r="D63" s="48">
        <f t="shared" si="5"/>
        <v>264.55</v>
      </c>
      <c r="E63" s="46">
        <v>16.809999999999999</v>
      </c>
      <c r="F63" s="601"/>
    </row>
    <row r="64" spans="1:6">
      <c r="A64" s="155">
        <v>1990</v>
      </c>
      <c r="B64" s="49" t="s">
        <v>1061</v>
      </c>
      <c r="C64" s="50">
        <v>10.93</v>
      </c>
      <c r="D64" s="49">
        <f t="shared" si="5"/>
        <v>240.96</v>
      </c>
      <c r="E64" s="49">
        <v>26.54</v>
      </c>
      <c r="F64" s="601"/>
    </row>
    <row r="65" spans="1:6">
      <c r="A65" s="155">
        <v>1990</v>
      </c>
      <c r="B65" s="46" t="s">
        <v>1062</v>
      </c>
      <c r="C65" s="47">
        <v>11.02</v>
      </c>
      <c r="D65" s="48">
        <f t="shared" si="5"/>
        <v>242.95</v>
      </c>
      <c r="E65" s="46">
        <v>33.619999999999997</v>
      </c>
      <c r="F65" s="601"/>
    </row>
    <row r="66" spans="1:6">
      <c r="A66" s="155">
        <v>1990</v>
      </c>
      <c r="B66" s="49" t="s">
        <v>1063</v>
      </c>
      <c r="C66" s="50">
        <v>9.39</v>
      </c>
      <c r="D66" s="49">
        <f t="shared" si="5"/>
        <v>207.01</v>
      </c>
      <c r="E66" s="49">
        <v>34.85</v>
      </c>
      <c r="F66" s="601"/>
    </row>
    <row r="67" spans="1:6">
      <c r="A67" s="155">
        <v>1990</v>
      </c>
      <c r="B67" s="46" t="s">
        <v>1064</v>
      </c>
      <c r="C67" s="47">
        <v>10.06</v>
      </c>
      <c r="D67" s="48">
        <f t="shared" si="5"/>
        <v>221.78</v>
      </c>
      <c r="E67" s="46">
        <v>31.54</v>
      </c>
      <c r="F67" s="601"/>
    </row>
    <row r="68" spans="1:6">
      <c r="A68" s="155">
        <v>1990</v>
      </c>
      <c r="B68" s="49" t="s">
        <v>1065</v>
      </c>
      <c r="C68" s="50">
        <v>9.74</v>
      </c>
      <c r="D68" s="49">
        <f t="shared" si="5"/>
        <v>214.73</v>
      </c>
      <c r="E68" s="49">
        <v>26.61</v>
      </c>
      <c r="F68" s="601"/>
    </row>
    <row r="69" spans="1:6">
      <c r="A69" s="155">
        <v>1991</v>
      </c>
      <c r="B69" s="46" t="s">
        <v>1066</v>
      </c>
      <c r="C69" s="47">
        <v>8.8000000000000007</v>
      </c>
      <c r="D69" s="48">
        <f t="shared" si="5"/>
        <v>194.01</v>
      </c>
      <c r="E69" s="46">
        <v>22.81</v>
      </c>
      <c r="F69" s="601"/>
    </row>
    <row r="70" spans="1:6">
      <c r="A70" s="155">
        <v>1991</v>
      </c>
      <c r="B70" s="49" t="s">
        <v>1067</v>
      </c>
      <c r="C70" s="50">
        <v>8.51</v>
      </c>
      <c r="D70" s="49">
        <f t="shared" si="5"/>
        <v>187.61</v>
      </c>
      <c r="E70" s="49">
        <v>18.53</v>
      </c>
      <c r="F70" s="601"/>
    </row>
    <row r="71" spans="1:6">
      <c r="A71" s="155">
        <v>1991</v>
      </c>
      <c r="B71" s="46" t="s">
        <v>1068</v>
      </c>
      <c r="C71" s="47">
        <v>9.14</v>
      </c>
      <c r="D71" s="48">
        <f t="shared" si="5"/>
        <v>201.5</v>
      </c>
      <c r="E71" s="46">
        <v>18.21</v>
      </c>
      <c r="F71" s="601"/>
    </row>
    <row r="72" spans="1:6">
      <c r="A72" s="155">
        <v>1991</v>
      </c>
      <c r="B72" s="49" t="s">
        <v>1069</v>
      </c>
      <c r="C72" s="50">
        <v>8.51</v>
      </c>
      <c r="D72" s="49">
        <f t="shared" si="5"/>
        <v>187.61</v>
      </c>
      <c r="E72" s="49">
        <v>18.489999999999998</v>
      </c>
      <c r="F72" s="601"/>
    </row>
    <row r="73" spans="1:6">
      <c r="A73" s="155">
        <v>1991</v>
      </c>
      <c r="B73" s="46" t="s">
        <v>1070</v>
      </c>
      <c r="C73" s="47">
        <v>7.59</v>
      </c>
      <c r="D73" s="48">
        <f t="shared" si="5"/>
        <v>167.33</v>
      </c>
      <c r="E73" s="46">
        <v>18.72</v>
      </c>
      <c r="F73" s="601"/>
    </row>
    <row r="74" spans="1:6">
      <c r="A74" s="155">
        <v>1991</v>
      </c>
      <c r="B74" s="49" t="s">
        <v>1071</v>
      </c>
      <c r="C74" s="50">
        <v>9.1999999999999993</v>
      </c>
      <c r="D74" s="49">
        <f t="shared" si="5"/>
        <v>202.83</v>
      </c>
      <c r="E74" s="49">
        <v>17.78</v>
      </c>
      <c r="F74" s="601"/>
    </row>
    <row r="75" spans="1:6">
      <c r="A75" s="155">
        <v>1991</v>
      </c>
      <c r="B75" s="46" t="s">
        <v>1072</v>
      </c>
      <c r="C75" s="47">
        <v>10.32</v>
      </c>
      <c r="D75" s="48">
        <f t="shared" si="5"/>
        <v>227.52</v>
      </c>
      <c r="E75" s="46">
        <v>19.02</v>
      </c>
      <c r="F75" s="601"/>
    </row>
    <row r="76" spans="1:6">
      <c r="A76" s="155">
        <v>1991</v>
      </c>
      <c r="B76" s="49" t="s">
        <v>1073</v>
      </c>
      <c r="C76" s="50">
        <v>9.59</v>
      </c>
      <c r="D76" s="49">
        <f t="shared" si="5"/>
        <v>211.42</v>
      </c>
      <c r="E76" s="49">
        <v>19.3</v>
      </c>
      <c r="F76" s="601"/>
    </row>
    <row r="77" spans="1:6">
      <c r="A77" s="155">
        <v>1991</v>
      </c>
      <c r="B77" s="46" t="s">
        <v>1074</v>
      </c>
      <c r="C77" s="47">
        <v>9.3000000000000007</v>
      </c>
      <c r="D77" s="48">
        <f t="shared" ref="D77:D140" si="7">ROUND(C77*($C$7/$C$8),2)</f>
        <v>205.03</v>
      </c>
      <c r="E77" s="46">
        <v>19.95</v>
      </c>
      <c r="F77" s="601"/>
    </row>
    <row r="78" spans="1:6">
      <c r="A78" s="155">
        <v>1991</v>
      </c>
      <c r="B78" s="49" t="s">
        <v>1075</v>
      </c>
      <c r="C78" s="50">
        <v>9.1300000000000008</v>
      </c>
      <c r="D78" s="49">
        <f t="shared" si="7"/>
        <v>201.28</v>
      </c>
      <c r="E78" s="49">
        <v>21.56</v>
      </c>
      <c r="F78" s="601"/>
    </row>
    <row r="79" spans="1:6">
      <c r="A79" s="155">
        <v>1991</v>
      </c>
      <c r="B79" s="46" t="s">
        <v>1076</v>
      </c>
      <c r="C79" s="47">
        <v>8.6300000000000008</v>
      </c>
      <c r="D79" s="48">
        <f t="shared" si="7"/>
        <v>190.26</v>
      </c>
      <c r="E79" s="46">
        <v>20.41</v>
      </c>
      <c r="F79" s="601"/>
    </row>
    <row r="80" spans="1:6">
      <c r="A80" s="155">
        <v>1991</v>
      </c>
      <c r="B80" s="49" t="s">
        <v>1077</v>
      </c>
      <c r="C80" s="50">
        <v>9</v>
      </c>
      <c r="D80" s="49">
        <f t="shared" si="7"/>
        <v>198.42</v>
      </c>
      <c r="E80" s="49">
        <v>17.63</v>
      </c>
      <c r="F80" s="601"/>
    </row>
    <row r="81" spans="1:6">
      <c r="A81" s="155">
        <v>1992</v>
      </c>
      <c r="B81" s="46" t="s">
        <v>1078</v>
      </c>
      <c r="C81" s="47">
        <v>8.42</v>
      </c>
      <c r="D81" s="48">
        <f t="shared" si="7"/>
        <v>185.63</v>
      </c>
      <c r="E81" s="46">
        <v>17.52</v>
      </c>
      <c r="F81" s="601"/>
    </row>
    <row r="82" spans="1:6">
      <c r="A82" s="155">
        <v>1992</v>
      </c>
      <c r="B82" s="49" t="s">
        <v>1079</v>
      </c>
      <c r="C82" s="50">
        <v>7.84</v>
      </c>
      <c r="D82" s="49">
        <f t="shared" si="7"/>
        <v>172.84</v>
      </c>
      <c r="E82" s="49">
        <v>17.649999999999999</v>
      </c>
      <c r="F82" s="601"/>
    </row>
    <row r="83" spans="1:6">
      <c r="A83" s="155">
        <v>1992</v>
      </c>
      <c r="B83" s="46" t="s">
        <v>1080</v>
      </c>
      <c r="C83" s="47">
        <v>8.25</v>
      </c>
      <c r="D83" s="48">
        <f t="shared" si="7"/>
        <v>181.88</v>
      </c>
      <c r="E83" s="46">
        <v>17.350000000000001</v>
      </c>
      <c r="F83" s="601"/>
    </row>
    <row r="84" spans="1:6">
      <c r="A84" s="155">
        <v>1992</v>
      </c>
      <c r="B84" s="49" t="s">
        <v>1081</v>
      </c>
      <c r="C84" s="50">
        <v>9.4600000000000009</v>
      </c>
      <c r="D84" s="49">
        <f t="shared" si="7"/>
        <v>208.56</v>
      </c>
      <c r="E84" s="49">
        <v>18.649999999999999</v>
      </c>
      <c r="F84" s="601"/>
    </row>
    <row r="85" spans="1:6">
      <c r="A85" s="155">
        <v>1992</v>
      </c>
      <c r="B85" s="46" t="s">
        <v>1082</v>
      </c>
      <c r="C85" s="47">
        <v>9.61</v>
      </c>
      <c r="D85" s="48">
        <f t="shared" si="7"/>
        <v>211.86</v>
      </c>
      <c r="E85" s="46">
        <v>19.52</v>
      </c>
      <c r="F85" s="601"/>
    </row>
    <row r="86" spans="1:6">
      <c r="A86" s="155">
        <v>1992</v>
      </c>
      <c r="B86" s="49" t="s">
        <v>1083</v>
      </c>
      <c r="C86" s="50">
        <v>10.35</v>
      </c>
      <c r="D86" s="49">
        <f t="shared" si="7"/>
        <v>228.18</v>
      </c>
      <c r="E86" s="49">
        <v>20.88</v>
      </c>
      <c r="F86" s="601"/>
    </row>
    <row r="87" spans="1:6">
      <c r="A87" s="155">
        <v>1992</v>
      </c>
      <c r="B87" s="46" t="s">
        <v>1084</v>
      </c>
      <c r="C87" s="47">
        <v>10.31</v>
      </c>
      <c r="D87" s="48">
        <f t="shared" si="7"/>
        <v>227.3</v>
      </c>
      <c r="E87" s="46">
        <v>20.18</v>
      </c>
      <c r="F87" s="601"/>
    </row>
    <row r="88" spans="1:6">
      <c r="A88" s="155">
        <v>1992</v>
      </c>
      <c r="B88" s="49" t="s">
        <v>1085</v>
      </c>
      <c r="C88" s="50">
        <v>9.86</v>
      </c>
      <c r="D88" s="49">
        <f t="shared" si="7"/>
        <v>217.38</v>
      </c>
      <c r="E88" s="49">
        <v>19.62</v>
      </c>
      <c r="F88" s="601"/>
    </row>
    <row r="89" spans="1:6">
      <c r="A89" s="155">
        <v>1992</v>
      </c>
      <c r="B89" s="46" t="s">
        <v>1086</v>
      </c>
      <c r="C89" s="47">
        <v>9.31</v>
      </c>
      <c r="D89" s="48">
        <f t="shared" si="7"/>
        <v>205.25</v>
      </c>
      <c r="E89" s="46">
        <v>20.190000000000001</v>
      </c>
      <c r="F89" s="601"/>
    </row>
    <row r="90" spans="1:6">
      <c r="A90" s="155">
        <v>1992</v>
      </c>
      <c r="B90" s="49" t="s">
        <v>1087</v>
      </c>
      <c r="C90" s="50">
        <v>8.7100000000000009</v>
      </c>
      <c r="D90" s="49">
        <f t="shared" si="7"/>
        <v>192.02</v>
      </c>
      <c r="E90" s="49">
        <v>20.04</v>
      </c>
      <c r="F90" s="601"/>
    </row>
    <row r="91" spans="1:6">
      <c r="A91" s="155">
        <v>1992</v>
      </c>
      <c r="B91" s="46" t="s">
        <v>1088</v>
      </c>
      <c r="C91" s="47">
        <v>8.56</v>
      </c>
      <c r="D91" s="48">
        <f t="shared" si="7"/>
        <v>188.72</v>
      </c>
      <c r="E91" s="46">
        <v>18.899999999999999</v>
      </c>
      <c r="F91" s="601"/>
    </row>
    <row r="92" spans="1:6">
      <c r="A92" s="155">
        <v>1992</v>
      </c>
      <c r="B92" s="49" t="s">
        <v>1089</v>
      </c>
      <c r="C92" s="50">
        <v>8.15</v>
      </c>
      <c r="D92" s="49">
        <f t="shared" si="7"/>
        <v>179.68</v>
      </c>
      <c r="E92" s="49">
        <v>17.93</v>
      </c>
      <c r="F92" s="601"/>
    </row>
    <row r="93" spans="1:6">
      <c r="A93" s="155">
        <v>1993</v>
      </c>
      <c r="B93" s="46" t="s">
        <v>1090</v>
      </c>
      <c r="C93" s="47">
        <v>8.24</v>
      </c>
      <c r="D93" s="48">
        <f t="shared" si="7"/>
        <v>181.66</v>
      </c>
      <c r="E93" s="46">
        <v>17.239999999999998</v>
      </c>
      <c r="F93" s="601"/>
    </row>
    <row r="94" spans="1:6">
      <c r="A94" s="155">
        <v>1993</v>
      </c>
      <c r="B94" s="49" t="s">
        <v>1091</v>
      </c>
      <c r="C94" s="50">
        <v>8.56</v>
      </c>
      <c r="D94" s="49">
        <f t="shared" si="7"/>
        <v>188.72</v>
      </c>
      <c r="E94" s="49">
        <v>18.23</v>
      </c>
      <c r="F94" s="601"/>
    </row>
    <row r="95" spans="1:6">
      <c r="A95" s="155">
        <v>1993</v>
      </c>
      <c r="B95" s="46" t="s">
        <v>1092</v>
      </c>
      <c r="C95" s="47">
        <v>10.62</v>
      </c>
      <c r="D95" s="48">
        <f t="shared" si="7"/>
        <v>234.13</v>
      </c>
      <c r="E95" s="46">
        <v>18.5</v>
      </c>
      <c r="F95" s="601"/>
    </row>
    <row r="96" spans="1:6">
      <c r="A96" s="155">
        <v>1993</v>
      </c>
      <c r="B96" s="49" t="s">
        <v>1093</v>
      </c>
      <c r="C96" s="50">
        <v>11.15</v>
      </c>
      <c r="D96" s="49">
        <f t="shared" si="7"/>
        <v>245.82</v>
      </c>
      <c r="E96" s="49">
        <v>18.440000000000001</v>
      </c>
      <c r="F96" s="601"/>
    </row>
    <row r="97" spans="1:6">
      <c r="A97" s="155">
        <v>1993</v>
      </c>
      <c r="B97" s="46" t="s">
        <v>1094</v>
      </c>
      <c r="C97" s="47">
        <v>11.83</v>
      </c>
      <c r="D97" s="48">
        <f t="shared" si="7"/>
        <v>260.81</v>
      </c>
      <c r="E97" s="46">
        <v>18.170000000000002</v>
      </c>
      <c r="F97" s="601"/>
    </row>
    <row r="98" spans="1:6">
      <c r="A98" s="155">
        <v>1993</v>
      </c>
      <c r="B98" s="49" t="s">
        <v>1095</v>
      </c>
      <c r="C98" s="50">
        <v>10.4</v>
      </c>
      <c r="D98" s="49">
        <f t="shared" si="7"/>
        <v>229.28</v>
      </c>
      <c r="E98" s="49">
        <v>17.37</v>
      </c>
      <c r="F98" s="601"/>
    </row>
    <row r="99" spans="1:6">
      <c r="A99" s="155">
        <v>1993</v>
      </c>
      <c r="B99" s="46" t="s">
        <v>1096</v>
      </c>
      <c r="C99" s="47">
        <v>9.68</v>
      </c>
      <c r="D99" s="48">
        <f t="shared" si="7"/>
        <v>213.41</v>
      </c>
      <c r="E99" s="46">
        <v>16.37</v>
      </c>
      <c r="F99" s="601"/>
    </row>
    <row r="100" spans="1:6">
      <c r="A100" s="155">
        <v>1993</v>
      </c>
      <c r="B100" s="49" t="s">
        <v>1097</v>
      </c>
      <c r="C100" s="50">
        <v>9.34</v>
      </c>
      <c r="D100" s="49">
        <f t="shared" si="7"/>
        <v>205.91</v>
      </c>
      <c r="E100" s="49">
        <v>16.43</v>
      </c>
      <c r="F100" s="601"/>
    </row>
    <row r="101" spans="1:6">
      <c r="A101" s="155">
        <v>1993</v>
      </c>
      <c r="B101" s="46" t="s">
        <v>1098</v>
      </c>
      <c r="C101" s="47">
        <v>9.5399999999999991</v>
      </c>
      <c r="D101" s="48">
        <f t="shared" si="7"/>
        <v>210.32</v>
      </c>
      <c r="E101" s="46">
        <v>15.8</v>
      </c>
      <c r="F101" s="601"/>
    </row>
    <row r="102" spans="1:6">
      <c r="A102" s="155">
        <v>1993</v>
      </c>
      <c r="B102" s="49" t="s">
        <v>1099</v>
      </c>
      <c r="C102" s="50">
        <v>10.29</v>
      </c>
      <c r="D102" s="49">
        <f t="shared" si="7"/>
        <v>226.86</v>
      </c>
      <c r="E102" s="49">
        <v>16.440000000000001</v>
      </c>
      <c r="F102" s="601"/>
    </row>
    <row r="103" spans="1:6">
      <c r="A103" s="155">
        <v>1993</v>
      </c>
      <c r="B103" s="46" t="s">
        <v>1100</v>
      </c>
      <c r="C103" s="47">
        <v>10.07</v>
      </c>
      <c r="D103" s="48">
        <f t="shared" si="7"/>
        <v>222.01</v>
      </c>
      <c r="E103" s="46">
        <v>15.09</v>
      </c>
      <c r="F103" s="601"/>
    </row>
    <row r="104" spans="1:6">
      <c r="A104" s="155">
        <v>1993</v>
      </c>
      <c r="B104" s="49" t="s">
        <v>1101</v>
      </c>
      <c r="C104" s="50">
        <v>10.52</v>
      </c>
      <c r="D104" s="49">
        <f t="shared" si="7"/>
        <v>231.93</v>
      </c>
      <c r="E104" s="49">
        <v>13.36</v>
      </c>
      <c r="F104" s="601"/>
    </row>
    <row r="105" spans="1:6">
      <c r="A105" s="155">
        <v>1994</v>
      </c>
      <c r="B105" s="46" t="s">
        <v>1102</v>
      </c>
      <c r="C105" s="47">
        <v>10.3</v>
      </c>
      <c r="D105" s="48">
        <f t="shared" si="7"/>
        <v>227.08</v>
      </c>
      <c r="E105" s="46">
        <v>14.17</v>
      </c>
      <c r="F105" s="601"/>
    </row>
    <row r="106" spans="1:6">
      <c r="A106" s="155">
        <v>1994</v>
      </c>
      <c r="B106" s="49" t="s">
        <v>1103</v>
      </c>
      <c r="C106" s="50">
        <v>10.82</v>
      </c>
      <c r="D106" s="49">
        <f t="shared" si="7"/>
        <v>238.54</v>
      </c>
      <c r="E106" s="49">
        <v>13.75</v>
      </c>
      <c r="F106" s="601"/>
    </row>
    <row r="107" spans="1:6">
      <c r="A107" s="155">
        <v>1994</v>
      </c>
      <c r="B107" s="46" t="s">
        <v>1104</v>
      </c>
      <c r="C107" s="47">
        <v>11.73</v>
      </c>
      <c r="D107" s="48">
        <f t="shared" si="7"/>
        <v>258.60000000000002</v>
      </c>
      <c r="E107" s="46">
        <v>13.69</v>
      </c>
      <c r="F107" s="601"/>
    </row>
    <row r="108" spans="1:6">
      <c r="A108" s="155">
        <v>1994</v>
      </c>
      <c r="B108" s="49" t="s">
        <v>1105</v>
      </c>
      <c r="C108" s="50">
        <v>11.01</v>
      </c>
      <c r="D108" s="49">
        <f t="shared" si="7"/>
        <v>242.73</v>
      </c>
      <c r="E108" s="49">
        <v>15.15</v>
      </c>
      <c r="F108" s="601"/>
    </row>
    <row r="109" spans="1:6">
      <c r="A109" s="155">
        <v>1994</v>
      </c>
      <c r="B109" s="46" t="s">
        <v>1106</v>
      </c>
      <c r="C109" s="47">
        <v>11.58</v>
      </c>
      <c r="D109" s="48">
        <f t="shared" si="7"/>
        <v>255.29</v>
      </c>
      <c r="E109" s="46">
        <v>16.43</v>
      </c>
      <c r="F109" s="601"/>
    </row>
    <row r="110" spans="1:6">
      <c r="A110" s="155">
        <v>1994</v>
      </c>
      <c r="B110" s="49" t="s">
        <v>1107</v>
      </c>
      <c r="C110" s="50">
        <v>12.05</v>
      </c>
      <c r="D110" s="49">
        <f t="shared" si="7"/>
        <v>265.66000000000003</v>
      </c>
      <c r="E110" s="49">
        <v>17.23</v>
      </c>
      <c r="F110" s="601"/>
    </row>
    <row r="111" spans="1:6">
      <c r="A111" s="155">
        <v>1994</v>
      </c>
      <c r="B111" s="46" t="s">
        <v>1108</v>
      </c>
      <c r="C111" s="47">
        <v>11.77</v>
      </c>
      <c r="D111" s="48">
        <f t="shared" si="7"/>
        <v>259.48</v>
      </c>
      <c r="E111" s="46">
        <v>18.04</v>
      </c>
      <c r="F111" s="601"/>
    </row>
    <row r="112" spans="1:6">
      <c r="A112" s="155">
        <v>1994</v>
      </c>
      <c r="B112" s="49" t="s">
        <v>1109</v>
      </c>
      <c r="C112" s="50">
        <v>12.09</v>
      </c>
      <c r="D112" s="49">
        <f t="shared" si="7"/>
        <v>266.54000000000002</v>
      </c>
      <c r="E112" s="49">
        <v>16.98</v>
      </c>
      <c r="F112" s="601"/>
    </row>
    <row r="113" spans="1:6">
      <c r="A113" s="155">
        <v>1994</v>
      </c>
      <c r="B113" s="46" t="s">
        <v>1110</v>
      </c>
      <c r="C113" s="47">
        <v>12.59</v>
      </c>
      <c r="D113" s="48">
        <f t="shared" si="7"/>
        <v>277.56</v>
      </c>
      <c r="E113" s="46">
        <v>16.13</v>
      </c>
      <c r="F113" s="601"/>
    </row>
    <row r="114" spans="1:6">
      <c r="A114" s="155">
        <v>1994</v>
      </c>
      <c r="B114" s="49" t="s">
        <v>1111</v>
      </c>
      <c r="C114" s="50">
        <v>12.76</v>
      </c>
      <c r="D114" s="49">
        <f t="shared" si="7"/>
        <v>281.31</v>
      </c>
      <c r="E114" s="49">
        <v>16.48</v>
      </c>
      <c r="F114" s="601"/>
    </row>
    <row r="115" spans="1:6">
      <c r="A115" s="155">
        <v>1994</v>
      </c>
      <c r="B115" s="46" t="s">
        <v>1112</v>
      </c>
      <c r="C115" s="47">
        <v>13.93</v>
      </c>
      <c r="D115" s="48">
        <f t="shared" si="7"/>
        <v>307.10000000000002</v>
      </c>
      <c r="E115" s="46">
        <v>17.2</v>
      </c>
      <c r="F115" s="601"/>
    </row>
    <row r="116" spans="1:6">
      <c r="A116" s="155">
        <v>1994</v>
      </c>
      <c r="B116" s="49" t="s">
        <v>1113</v>
      </c>
      <c r="C116" s="50">
        <v>14.67</v>
      </c>
      <c r="D116" s="49">
        <f t="shared" si="7"/>
        <v>323.42</v>
      </c>
      <c r="E116" s="49">
        <v>16.13</v>
      </c>
      <c r="F116" s="601"/>
    </row>
    <row r="117" spans="1:6">
      <c r="A117" s="155">
        <v>1995</v>
      </c>
      <c r="B117" s="46" t="s">
        <v>1114</v>
      </c>
      <c r="C117" s="47">
        <v>14.8</v>
      </c>
      <c r="D117" s="48">
        <f t="shared" si="7"/>
        <v>326.27999999999997</v>
      </c>
      <c r="E117" s="46">
        <v>16.88</v>
      </c>
      <c r="F117" s="601"/>
    </row>
    <row r="118" spans="1:6">
      <c r="A118" s="155">
        <v>1995</v>
      </c>
      <c r="B118" s="49" t="s">
        <v>1115</v>
      </c>
      <c r="C118" s="50">
        <v>14.41</v>
      </c>
      <c r="D118" s="49">
        <f t="shared" si="7"/>
        <v>317.69</v>
      </c>
      <c r="E118" s="49">
        <v>17.440000000000001</v>
      </c>
      <c r="F118" s="601"/>
    </row>
    <row r="119" spans="1:6">
      <c r="A119" s="155">
        <v>1995</v>
      </c>
      <c r="B119" s="46" t="s">
        <v>1116</v>
      </c>
      <c r="C119" s="47">
        <v>14.59</v>
      </c>
      <c r="D119" s="48">
        <f t="shared" si="7"/>
        <v>321.64999999999998</v>
      </c>
      <c r="E119" s="46">
        <v>17.350000000000001</v>
      </c>
      <c r="F119" s="601"/>
    </row>
    <row r="120" spans="1:6">
      <c r="A120" s="155">
        <v>1995</v>
      </c>
      <c r="B120" s="49" t="s">
        <v>1117</v>
      </c>
      <c r="C120" s="50">
        <v>13.61</v>
      </c>
      <c r="D120" s="49">
        <f t="shared" si="7"/>
        <v>300.05</v>
      </c>
      <c r="E120" s="49">
        <v>18.77</v>
      </c>
      <c r="F120" s="601"/>
    </row>
    <row r="121" spans="1:6">
      <c r="A121" s="155">
        <v>1995</v>
      </c>
      <c r="B121" s="46" t="s">
        <v>1118</v>
      </c>
      <c r="C121" s="47">
        <v>13.52</v>
      </c>
      <c r="D121" s="48">
        <f t="shared" si="7"/>
        <v>298.06</v>
      </c>
      <c r="E121" s="46">
        <v>18.43</v>
      </c>
      <c r="F121" s="601"/>
    </row>
    <row r="122" spans="1:6">
      <c r="A122" s="155">
        <v>1995</v>
      </c>
      <c r="B122" s="49" t="s">
        <v>1119</v>
      </c>
      <c r="C122" s="50">
        <v>14.02</v>
      </c>
      <c r="D122" s="49">
        <f t="shared" si="7"/>
        <v>309.08999999999997</v>
      </c>
      <c r="E122" s="49">
        <v>17.329999999999998</v>
      </c>
      <c r="F122" s="601"/>
    </row>
    <row r="123" spans="1:6">
      <c r="A123" s="155">
        <v>1995</v>
      </c>
      <c r="B123" s="46" t="s">
        <v>1120</v>
      </c>
      <c r="C123" s="47">
        <v>13.59</v>
      </c>
      <c r="D123" s="48">
        <f t="shared" si="7"/>
        <v>299.61</v>
      </c>
      <c r="E123" s="46">
        <v>16.059999999999999</v>
      </c>
      <c r="F123" s="601"/>
    </row>
    <row r="124" spans="1:6">
      <c r="A124" s="155">
        <v>1995</v>
      </c>
      <c r="B124" s="49" t="s">
        <v>1121</v>
      </c>
      <c r="C124" s="50">
        <v>12.98</v>
      </c>
      <c r="D124" s="49">
        <f t="shared" si="7"/>
        <v>286.16000000000003</v>
      </c>
      <c r="E124" s="49">
        <v>16.489999999999998</v>
      </c>
      <c r="F124" s="601"/>
    </row>
    <row r="125" spans="1:6">
      <c r="A125" s="155">
        <v>1995</v>
      </c>
      <c r="B125" s="46" t="s">
        <v>1122</v>
      </c>
      <c r="C125" s="47">
        <v>11.69</v>
      </c>
      <c r="D125" s="48">
        <f t="shared" si="7"/>
        <v>257.72000000000003</v>
      </c>
      <c r="E125" s="46">
        <v>16.77</v>
      </c>
      <c r="F125" s="601"/>
    </row>
    <row r="126" spans="1:6">
      <c r="A126" s="155">
        <v>1995</v>
      </c>
      <c r="B126" s="49" t="s">
        <v>1123</v>
      </c>
      <c r="C126" s="50">
        <v>11.84</v>
      </c>
      <c r="D126" s="49">
        <f t="shared" si="7"/>
        <v>261.02999999999997</v>
      </c>
      <c r="E126" s="49">
        <v>16.18</v>
      </c>
      <c r="F126" s="601"/>
    </row>
    <row r="127" spans="1:6">
      <c r="A127" s="155">
        <v>1995</v>
      </c>
      <c r="B127" s="46" t="s">
        <v>1124</v>
      </c>
      <c r="C127" s="47">
        <v>11.98</v>
      </c>
      <c r="D127" s="48">
        <f t="shared" si="7"/>
        <v>264.11</v>
      </c>
      <c r="E127" s="46">
        <v>16.82</v>
      </c>
      <c r="F127" s="601"/>
    </row>
    <row r="128" spans="1:6">
      <c r="A128" s="155">
        <v>1995</v>
      </c>
      <c r="B128" s="49" t="s">
        <v>1125</v>
      </c>
      <c r="C128" s="50">
        <v>12.31</v>
      </c>
      <c r="D128" s="49">
        <f t="shared" si="7"/>
        <v>271.39</v>
      </c>
      <c r="E128" s="49">
        <v>17.93</v>
      </c>
      <c r="F128" s="601"/>
    </row>
    <row r="129" spans="1:6">
      <c r="A129" s="155">
        <v>1996</v>
      </c>
      <c r="B129" s="46" t="s">
        <v>1126</v>
      </c>
      <c r="C129" s="47">
        <v>12.53</v>
      </c>
      <c r="D129" s="48">
        <f t="shared" si="7"/>
        <v>276.24</v>
      </c>
      <c r="E129" s="46">
        <v>17.79</v>
      </c>
      <c r="F129" s="601"/>
    </row>
    <row r="130" spans="1:6">
      <c r="A130" s="155">
        <v>1996</v>
      </c>
      <c r="B130" s="49" t="s">
        <v>1127</v>
      </c>
      <c r="C130" s="50">
        <v>12.82</v>
      </c>
      <c r="D130" s="49">
        <f t="shared" si="7"/>
        <v>282.63</v>
      </c>
      <c r="E130" s="49">
        <v>17.690000000000001</v>
      </c>
      <c r="F130" s="601"/>
    </row>
    <row r="131" spans="1:6">
      <c r="A131" s="155">
        <v>1996</v>
      </c>
      <c r="B131" s="46" t="s">
        <v>1128</v>
      </c>
      <c r="C131" s="47">
        <v>12.9</v>
      </c>
      <c r="D131" s="48">
        <f t="shared" si="7"/>
        <v>284.39999999999998</v>
      </c>
      <c r="E131" s="46">
        <v>19.46</v>
      </c>
      <c r="F131" s="601"/>
    </row>
    <row r="132" spans="1:6">
      <c r="A132" s="155">
        <v>1996</v>
      </c>
      <c r="B132" s="49" t="s">
        <v>1129</v>
      </c>
      <c r="C132" s="50">
        <v>11.98</v>
      </c>
      <c r="D132" s="49">
        <f t="shared" si="7"/>
        <v>264.11</v>
      </c>
      <c r="E132" s="49">
        <v>20.78</v>
      </c>
      <c r="F132" s="601"/>
    </row>
    <row r="133" spans="1:6">
      <c r="A133" s="155">
        <v>1996</v>
      </c>
      <c r="B133" s="46" t="s">
        <v>1130</v>
      </c>
      <c r="C133" s="47">
        <v>11.38</v>
      </c>
      <c r="D133" s="48">
        <f t="shared" si="7"/>
        <v>250.89</v>
      </c>
      <c r="E133" s="46">
        <v>19.12</v>
      </c>
      <c r="F133" s="601"/>
    </row>
    <row r="134" spans="1:6">
      <c r="A134" s="155">
        <v>1996</v>
      </c>
      <c r="B134" s="49" t="s">
        <v>1131</v>
      </c>
      <c r="C134" s="50">
        <v>12.17</v>
      </c>
      <c r="D134" s="49">
        <f t="shared" si="7"/>
        <v>268.3</v>
      </c>
      <c r="E134" s="49">
        <v>18.559999999999999</v>
      </c>
      <c r="F134" s="601"/>
    </row>
    <row r="135" spans="1:6">
      <c r="A135" s="155">
        <v>1996</v>
      </c>
      <c r="B135" s="46" t="s">
        <v>1132</v>
      </c>
      <c r="C135" s="47">
        <v>12.81</v>
      </c>
      <c r="D135" s="48">
        <f t="shared" si="7"/>
        <v>282.41000000000003</v>
      </c>
      <c r="E135" s="46">
        <v>19.559999999999999</v>
      </c>
      <c r="F135" s="601"/>
    </row>
    <row r="136" spans="1:6">
      <c r="A136" s="155">
        <v>1996</v>
      </c>
      <c r="B136" s="49" t="s">
        <v>1133</v>
      </c>
      <c r="C136" s="50">
        <v>12.37</v>
      </c>
      <c r="D136" s="49">
        <f t="shared" si="7"/>
        <v>272.70999999999998</v>
      </c>
      <c r="E136" s="49">
        <v>20.190000000000001</v>
      </c>
      <c r="F136" s="601"/>
    </row>
    <row r="137" spans="1:6">
      <c r="A137" s="155">
        <v>1996</v>
      </c>
      <c r="B137" s="46" t="s">
        <v>1134</v>
      </c>
      <c r="C137" s="47">
        <v>11.92</v>
      </c>
      <c r="D137" s="48">
        <f t="shared" si="7"/>
        <v>262.79000000000002</v>
      </c>
      <c r="E137" s="46">
        <v>22.14</v>
      </c>
      <c r="F137" s="601"/>
    </row>
    <row r="138" spans="1:6">
      <c r="A138" s="155">
        <v>1996</v>
      </c>
      <c r="B138" s="49" t="s">
        <v>1135</v>
      </c>
      <c r="C138" s="50">
        <v>11.12</v>
      </c>
      <c r="D138" s="49">
        <f t="shared" si="7"/>
        <v>245.15</v>
      </c>
      <c r="E138" s="49">
        <v>23.43</v>
      </c>
      <c r="F138" s="601"/>
    </row>
    <row r="139" spans="1:6">
      <c r="A139" s="155">
        <v>1996</v>
      </c>
      <c r="B139" s="46" t="s">
        <v>1136</v>
      </c>
      <c r="C139" s="47">
        <v>10.72</v>
      </c>
      <c r="D139" s="48">
        <f t="shared" si="7"/>
        <v>236.34</v>
      </c>
      <c r="E139" s="46">
        <v>22.25</v>
      </c>
      <c r="F139" s="601"/>
    </row>
    <row r="140" spans="1:6">
      <c r="A140" s="155">
        <v>1996</v>
      </c>
      <c r="B140" s="49" t="s">
        <v>1137</v>
      </c>
      <c r="C140" s="50">
        <v>10.74</v>
      </c>
      <c r="D140" s="49">
        <f t="shared" si="7"/>
        <v>236.78</v>
      </c>
      <c r="E140" s="49">
        <v>23.51</v>
      </c>
      <c r="F140" s="601"/>
    </row>
    <row r="141" spans="1:6">
      <c r="A141" s="155">
        <v>1997</v>
      </c>
      <c r="B141" s="46" t="s">
        <v>1138</v>
      </c>
      <c r="C141" s="47">
        <v>10.69</v>
      </c>
      <c r="D141" s="48">
        <f t="shared" ref="D141:D204" si="8">ROUND(C141*($C$7/$C$8),2)</f>
        <v>235.67</v>
      </c>
      <c r="E141" s="46">
        <v>23.29</v>
      </c>
      <c r="F141" s="601"/>
    </row>
    <row r="142" spans="1:6">
      <c r="A142" s="155">
        <v>1997</v>
      </c>
      <c r="B142" s="49" t="s">
        <v>1139</v>
      </c>
      <c r="C142" s="50">
        <v>10.81</v>
      </c>
      <c r="D142" s="49">
        <f t="shared" si="8"/>
        <v>238.32</v>
      </c>
      <c r="E142" s="49">
        <v>20.54</v>
      </c>
      <c r="F142" s="601"/>
    </row>
    <row r="143" spans="1:6">
      <c r="A143" s="155">
        <v>1997</v>
      </c>
      <c r="B143" s="46" t="s">
        <v>1140</v>
      </c>
      <c r="C143" s="47">
        <v>11.14</v>
      </c>
      <c r="D143" s="48">
        <f t="shared" si="8"/>
        <v>245.59</v>
      </c>
      <c r="E143" s="46">
        <v>19.420000000000002</v>
      </c>
      <c r="F143" s="601"/>
    </row>
    <row r="144" spans="1:6">
      <c r="A144" s="155">
        <v>1997</v>
      </c>
      <c r="B144" s="49" t="s">
        <v>1141</v>
      </c>
      <c r="C144" s="50">
        <v>11.3</v>
      </c>
      <c r="D144" s="49">
        <f t="shared" si="8"/>
        <v>249.12</v>
      </c>
      <c r="E144" s="49">
        <v>17.98</v>
      </c>
      <c r="F144" s="601"/>
    </row>
    <row r="145" spans="1:6">
      <c r="A145" s="155">
        <v>1997</v>
      </c>
      <c r="B145" s="46" t="s">
        <v>1142</v>
      </c>
      <c r="C145" s="47">
        <v>11.13</v>
      </c>
      <c r="D145" s="48">
        <f t="shared" si="8"/>
        <v>245.37</v>
      </c>
      <c r="E145" s="46">
        <v>19.47</v>
      </c>
      <c r="F145" s="601"/>
    </row>
    <row r="146" spans="1:6">
      <c r="A146" s="155">
        <v>1997</v>
      </c>
      <c r="B146" s="49" t="s">
        <v>1143</v>
      </c>
      <c r="C146" s="50">
        <v>11.43</v>
      </c>
      <c r="D146" s="49">
        <f t="shared" si="8"/>
        <v>251.99</v>
      </c>
      <c r="E146" s="49">
        <v>18.02</v>
      </c>
      <c r="F146" s="601"/>
    </row>
    <row r="147" spans="1:6">
      <c r="A147" s="155">
        <v>1997</v>
      </c>
      <c r="B147" s="46" t="s">
        <v>1144</v>
      </c>
      <c r="C147" s="47">
        <v>11.57</v>
      </c>
      <c r="D147" s="48">
        <f t="shared" si="8"/>
        <v>255.07</v>
      </c>
      <c r="E147" s="46">
        <v>18.45</v>
      </c>
      <c r="F147" s="601"/>
    </row>
    <row r="148" spans="1:6">
      <c r="A148" s="155">
        <v>1997</v>
      </c>
      <c r="B148" s="49" t="s">
        <v>1145</v>
      </c>
      <c r="C148" s="50">
        <v>11.7</v>
      </c>
      <c r="D148" s="49">
        <f t="shared" si="8"/>
        <v>257.94</v>
      </c>
      <c r="E148" s="49">
        <v>18.79</v>
      </c>
      <c r="F148" s="601"/>
    </row>
    <row r="149" spans="1:6">
      <c r="A149" s="155">
        <v>1997</v>
      </c>
      <c r="B149" s="46" t="s">
        <v>1146</v>
      </c>
      <c r="C149" s="47">
        <v>11.33</v>
      </c>
      <c r="D149" s="48">
        <f t="shared" si="8"/>
        <v>249.78</v>
      </c>
      <c r="E149" s="46">
        <v>18.73</v>
      </c>
      <c r="F149" s="601"/>
    </row>
    <row r="150" spans="1:6">
      <c r="A150" s="155">
        <v>1997</v>
      </c>
      <c r="B150" s="49" t="s">
        <v>1147</v>
      </c>
      <c r="C150" s="50">
        <v>11.38</v>
      </c>
      <c r="D150" s="49">
        <f t="shared" si="8"/>
        <v>250.89</v>
      </c>
      <c r="E150" s="49">
        <v>20.12</v>
      </c>
      <c r="F150" s="601"/>
    </row>
    <row r="151" spans="1:6">
      <c r="A151" s="155">
        <v>1997</v>
      </c>
      <c r="B151" s="46" t="s">
        <v>1148</v>
      </c>
      <c r="C151" s="47">
        <v>12.01</v>
      </c>
      <c r="D151" s="48">
        <f t="shared" si="8"/>
        <v>264.77</v>
      </c>
      <c r="E151" s="46">
        <v>19.16</v>
      </c>
      <c r="F151" s="601"/>
    </row>
    <row r="152" spans="1:6">
      <c r="A152" s="155">
        <v>1997</v>
      </c>
      <c r="B152" s="49" t="s">
        <v>1149</v>
      </c>
      <c r="C152" s="50">
        <v>12.33</v>
      </c>
      <c r="D152" s="49">
        <f t="shared" si="8"/>
        <v>271.83</v>
      </c>
      <c r="E152" s="49">
        <v>17.239999999999998</v>
      </c>
      <c r="F152" s="601"/>
    </row>
    <row r="153" spans="1:6">
      <c r="A153" s="155">
        <v>1998</v>
      </c>
      <c r="B153" s="46" t="s">
        <v>1150</v>
      </c>
      <c r="C153" s="47">
        <v>11.52</v>
      </c>
      <c r="D153" s="48">
        <f t="shared" si="8"/>
        <v>253.97</v>
      </c>
      <c r="E153" s="46">
        <v>15.07</v>
      </c>
      <c r="F153" s="601"/>
    </row>
    <row r="154" spans="1:6">
      <c r="A154" s="155">
        <v>1998</v>
      </c>
      <c r="B154" s="49" t="s">
        <v>1151</v>
      </c>
      <c r="C154" s="50">
        <v>10.72</v>
      </c>
      <c r="D154" s="49">
        <f t="shared" si="8"/>
        <v>236.34</v>
      </c>
      <c r="E154" s="49">
        <v>14.18</v>
      </c>
      <c r="F154" s="601"/>
    </row>
    <row r="155" spans="1:6">
      <c r="A155" s="155">
        <v>1998</v>
      </c>
      <c r="B155" s="46" t="s">
        <v>1152</v>
      </c>
      <c r="C155" s="47">
        <v>9.84</v>
      </c>
      <c r="D155" s="48">
        <f t="shared" si="8"/>
        <v>216.93</v>
      </c>
      <c r="E155" s="46">
        <v>13.24</v>
      </c>
      <c r="F155" s="601"/>
    </row>
    <row r="156" spans="1:6">
      <c r="A156" s="155">
        <v>1998</v>
      </c>
      <c r="B156" s="49" t="s">
        <v>1153</v>
      </c>
      <c r="C156" s="50">
        <v>9.68</v>
      </c>
      <c r="D156" s="49">
        <f t="shared" si="8"/>
        <v>213.41</v>
      </c>
      <c r="E156" s="49">
        <v>13.39</v>
      </c>
      <c r="F156" s="601"/>
    </row>
    <row r="157" spans="1:6">
      <c r="A157" s="155">
        <v>1998</v>
      </c>
      <c r="B157" s="46" t="s">
        <v>1154</v>
      </c>
      <c r="C157" s="47">
        <v>9.23</v>
      </c>
      <c r="D157" s="48">
        <f t="shared" si="8"/>
        <v>203.49</v>
      </c>
      <c r="E157" s="46">
        <v>13.97</v>
      </c>
      <c r="F157" s="601"/>
    </row>
    <row r="158" spans="1:6">
      <c r="A158" s="155">
        <v>1998</v>
      </c>
      <c r="B158" s="49" t="s">
        <v>1155</v>
      </c>
      <c r="C158" s="50">
        <v>8.1</v>
      </c>
      <c r="D158" s="49">
        <f t="shared" si="8"/>
        <v>178.57</v>
      </c>
      <c r="E158" s="49">
        <v>12.48</v>
      </c>
      <c r="F158" s="601"/>
    </row>
    <row r="159" spans="1:6">
      <c r="A159" s="155">
        <v>1998</v>
      </c>
      <c r="B159" s="46" t="s">
        <v>1156</v>
      </c>
      <c r="C159" s="47">
        <v>8.6199999999999992</v>
      </c>
      <c r="D159" s="48">
        <f t="shared" si="8"/>
        <v>190.04</v>
      </c>
      <c r="E159" s="46">
        <v>12.72</v>
      </c>
      <c r="F159" s="601"/>
    </row>
    <row r="160" spans="1:6">
      <c r="A160" s="155">
        <v>1998</v>
      </c>
      <c r="B160" s="49" t="s">
        <v>1157</v>
      </c>
      <c r="C160" s="50">
        <v>8.48</v>
      </c>
      <c r="D160" s="49">
        <f t="shared" si="8"/>
        <v>186.95</v>
      </c>
      <c r="E160" s="49">
        <v>12.49</v>
      </c>
      <c r="F160" s="601"/>
    </row>
    <row r="161" spans="1:6">
      <c r="A161" s="155">
        <v>1998</v>
      </c>
      <c r="B161" s="46" t="s">
        <v>1158</v>
      </c>
      <c r="C161" s="47">
        <v>7.23</v>
      </c>
      <c r="D161" s="48">
        <f t="shared" si="8"/>
        <v>159.38999999999999</v>
      </c>
      <c r="E161" s="46">
        <v>13.8</v>
      </c>
      <c r="F161" s="601"/>
    </row>
    <row r="162" spans="1:6">
      <c r="A162" s="155">
        <v>1998</v>
      </c>
      <c r="B162" s="49" t="s">
        <v>1159</v>
      </c>
      <c r="C162" s="50">
        <v>7.46</v>
      </c>
      <c r="D162" s="49">
        <f t="shared" si="8"/>
        <v>164.46</v>
      </c>
      <c r="E162" s="49">
        <v>13.26</v>
      </c>
      <c r="F162" s="601"/>
    </row>
    <row r="163" spans="1:6">
      <c r="A163" s="155">
        <v>1998</v>
      </c>
      <c r="B163" s="46" t="s">
        <v>1160</v>
      </c>
      <c r="C163" s="47">
        <v>8.06</v>
      </c>
      <c r="D163" s="48">
        <f t="shared" si="8"/>
        <v>177.69</v>
      </c>
      <c r="E163" s="46">
        <v>11.88</v>
      </c>
      <c r="F163" s="601"/>
    </row>
    <row r="164" spans="1:6">
      <c r="A164" s="155">
        <v>1998</v>
      </c>
      <c r="B164" s="49" t="s">
        <v>1161</v>
      </c>
      <c r="C164" s="50">
        <v>8.08</v>
      </c>
      <c r="D164" s="49">
        <f t="shared" si="8"/>
        <v>178.13</v>
      </c>
      <c r="E164" s="49">
        <v>10.41</v>
      </c>
      <c r="F164" s="601"/>
    </row>
    <row r="165" spans="1:6">
      <c r="A165" s="155">
        <v>1999</v>
      </c>
      <c r="B165" s="46" t="s">
        <v>1162</v>
      </c>
      <c r="C165" s="47">
        <v>8.11</v>
      </c>
      <c r="D165" s="48">
        <f t="shared" si="8"/>
        <v>178.79</v>
      </c>
      <c r="E165" s="46">
        <v>11.32</v>
      </c>
      <c r="F165" s="601"/>
    </row>
    <row r="166" spans="1:6">
      <c r="A166" s="155">
        <v>1999</v>
      </c>
      <c r="B166" s="49" t="s">
        <v>1163</v>
      </c>
      <c r="C166" s="50">
        <v>6.82</v>
      </c>
      <c r="D166" s="49">
        <f t="shared" si="8"/>
        <v>150.36000000000001</v>
      </c>
      <c r="E166" s="49">
        <v>10.75</v>
      </c>
      <c r="F166" s="601"/>
    </row>
    <row r="167" spans="1:6">
      <c r="A167" s="155">
        <v>1999</v>
      </c>
      <c r="B167" s="46" t="s">
        <v>1164</v>
      </c>
      <c r="C167" s="47">
        <v>6.03</v>
      </c>
      <c r="D167" s="48">
        <f t="shared" si="8"/>
        <v>132.94</v>
      </c>
      <c r="E167" s="46">
        <v>12.86</v>
      </c>
      <c r="F167" s="601"/>
    </row>
    <row r="168" spans="1:6">
      <c r="A168" s="155">
        <v>1999</v>
      </c>
      <c r="B168" s="49" t="s">
        <v>1165</v>
      </c>
      <c r="C168" s="50">
        <v>5.42</v>
      </c>
      <c r="D168" s="49">
        <f t="shared" si="8"/>
        <v>119.49</v>
      </c>
      <c r="E168" s="49">
        <v>15.73</v>
      </c>
      <c r="F168" s="601"/>
    </row>
    <row r="169" spans="1:6">
      <c r="A169" s="155">
        <v>1999</v>
      </c>
      <c r="B169" s="46" t="s">
        <v>1166</v>
      </c>
      <c r="C169" s="47">
        <v>5.75</v>
      </c>
      <c r="D169" s="48">
        <f t="shared" si="8"/>
        <v>126.77</v>
      </c>
      <c r="E169" s="46">
        <v>16.12</v>
      </c>
      <c r="F169" s="601"/>
    </row>
    <row r="170" spans="1:6">
      <c r="A170" s="155">
        <v>1999</v>
      </c>
      <c r="B170" s="49" t="s">
        <v>1167</v>
      </c>
      <c r="C170" s="50">
        <v>6.04</v>
      </c>
      <c r="D170" s="49">
        <f t="shared" si="8"/>
        <v>133.16</v>
      </c>
      <c r="E170" s="49">
        <v>16.239999999999998</v>
      </c>
      <c r="F170" s="601"/>
    </row>
    <row r="171" spans="1:6">
      <c r="A171" s="155">
        <v>1999</v>
      </c>
      <c r="B171" s="46" t="s">
        <v>1168</v>
      </c>
      <c r="C171" s="47">
        <v>5.38</v>
      </c>
      <c r="D171" s="48">
        <f t="shared" si="8"/>
        <v>118.61</v>
      </c>
      <c r="E171" s="46">
        <v>18.75</v>
      </c>
      <c r="F171" s="601"/>
    </row>
    <row r="172" spans="1:6">
      <c r="A172" s="155">
        <v>1999</v>
      </c>
      <c r="B172" s="49" t="s">
        <v>1169</v>
      </c>
      <c r="C172" s="50">
        <v>5.72</v>
      </c>
      <c r="D172" s="49">
        <f t="shared" si="8"/>
        <v>126.1</v>
      </c>
      <c r="E172" s="49">
        <v>20.21</v>
      </c>
      <c r="F172" s="601"/>
    </row>
    <row r="173" spans="1:6">
      <c r="A173" s="155">
        <v>1999</v>
      </c>
      <c r="B173" s="46" t="s">
        <v>1170</v>
      </c>
      <c r="C173" s="47">
        <v>6.67</v>
      </c>
      <c r="D173" s="48">
        <f t="shared" si="8"/>
        <v>147.05000000000001</v>
      </c>
      <c r="E173" s="46">
        <v>22.37</v>
      </c>
      <c r="F173" s="601"/>
    </row>
    <row r="174" spans="1:6">
      <c r="A174" s="155">
        <v>1999</v>
      </c>
      <c r="B174" s="49" t="s">
        <v>1171</v>
      </c>
      <c r="C174" s="50">
        <v>6.75</v>
      </c>
      <c r="D174" s="49">
        <f t="shared" si="8"/>
        <v>148.81</v>
      </c>
      <c r="E174" s="49">
        <v>22.19</v>
      </c>
      <c r="F174" s="601"/>
    </row>
    <row r="175" spans="1:6">
      <c r="A175" s="155">
        <v>1999</v>
      </c>
      <c r="B175" s="46" t="s">
        <v>1172</v>
      </c>
      <c r="C175" s="47">
        <v>6.51</v>
      </c>
      <c r="D175" s="48">
        <f t="shared" si="8"/>
        <v>143.52000000000001</v>
      </c>
      <c r="E175" s="46">
        <v>24.22</v>
      </c>
      <c r="F175" s="601"/>
    </row>
    <row r="176" spans="1:6">
      <c r="A176" s="155">
        <v>1999</v>
      </c>
      <c r="B176" s="49" t="s">
        <v>1173</v>
      </c>
      <c r="C176" s="50">
        <v>5.98</v>
      </c>
      <c r="D176" s="49">
        <f t="shared" si="8"/>
        <v>131.84</v>
      </c>
      <c r="E176" s="49">
        <v>25.01</v>
      </c>
      <c r="F176" s="601"/>
    </row>
    <row r="177" spans="1:6">
      <c r="A177" s="155">
        <v>2000</v>
      </c>
      <c r="B177" s="46" t="s">
        <v>1174</v>
      </c>
      <c r="C177" s="47">
        <v>5.63</v>
      </c>
      <c r="D177" s="48">
        <f t="shared" si="8"/>
        <v>124.12</v>
      </c>
      <c r="E177" s="46">
        <v>25.21</v>
      </c>
      <c r="F177" s="601"/>
    </row>
    <row r="178" spans="1:6">
      <c r="A178" s="155">
        <v>2000</v>
      </c>
      <c r="B178" s="49" t="s">
        <v>1175</v>
      </c>
      <c r="C178" s="50">
        <v>5.35</v>
      </c>
      <c r="D178" s="49">
        <f t="shared" si="8"/>
        <v>117.95</v>
      </c>
      <c r="E178" s="49">
        <v>27.15</v>
      </c>
      <c r="F178" s="601"/>
    </row>
    <row r="179" spans="1:6">
      <c r="A179" s="155">
        <v>2000</v>
      </c>
      <c r="B179" s="46" t="s">
        <v>1176</v>
      </c>
      <c r="C179" s="47">
        <v>5.1100000000000003</v>
      </c>
      <c r="D179" s="48">
        <f t="shared" si="8"/>
        <v>112.66</v>
      </c>
      <c r="E179" s="46">
        <v>27.49</v>
      </c>
      <c r="F179" s="601"/>
    </row>
    <row r="180" spans="1:6">
      <c r="A180" s="155">
        <v>2000</v>
      </c>
      <c r="B180" s="49" t="s">
        <v>1177</v>
      </c>
      <c r="C180" s="50">
        <v>6.01</v>
      </c>
      <c r="D180" s="49">
        <f t="shared" si="8"/>
        <v>132.5</v>
      </c>
      <c r="E180" s="49">
        <v>23.45</v>
      </c>
      <c r="F180" s="601"/>
    </row>
    <row r="181" spans="1:6">
      <c r="A181" s="155">
        <v>2000</v>
      </c>
      <c r="B181" s="46" t="s">
        <v>1178</v>
      </c>
      <c r="C181" s="47">
        <v>6.78</v>
      </c>
      <c r="D181" s="48">
        <f t="shared" si="8"/>
        <v>149.47</v>
      </c>
      <c r="E181" s="46">
        <v>27.23</v>
      </c>
      <c r="F181" s="601"/>
    </row>
    <row r="182" spans="1:6">
      <c r="A182" s="155">
        <v>2000</v>
      </c>
      <c r="B182" s="49" t="s">
        <v>1179</v>
      </c>
      <c r="C182" s="50">
        <v>8.33</v>
      </c>
      <c r="D182" s="49">
        <f t="shared" si="8"/>
        <v>183.64</v>
      </c>
      <c r="E182" s="49">
        <v>29.62</v>
      </c>
      <c r="F182" s="601"/>
    </row>
    <row r="183" spans="1:6">
      <c r="A183" s="155">
        <v>2000</v>
      </c>
      <c r="B183" s="46" t="s">
        <v>1180</v>
      </c>
      <c r="C183" s="47">
        <v>9.64</v>
      </c>
      <c r="D183" s="48">
        <f t="shared" si="8"/>
        <v>212.53</v>
      </c>
      <c r="E183" s="46">
        <v>28.16</v>
      </c>
      <c r="F183" s="601"/>
    </row>
    <row r="184" spans="1:6">
      <c r="A184" s="155">
        <v>2000</v>
      </c>
      <c r="B184" s="49" t="s">
        <v>1181</v>
      </c>
      <c r="C184" s="50">
        <v>10.6</v>
      </c>
      <c r="D184" s="49">
        <f t="shared" si="8"/>
        <v>233.69</v>
      </c>
      <c r="E184" s="49">
        <v>29.41</v>
      </c>
      <c r="F184" s="601"/>
    </row>
    <row r="185" spans="1:6">
      <c r="A185" s="155">
        <v>2000</v>
      </c>
      <c r="B185" s="46" t="s">
        <v>1182</v>
      </c>
      <c r="C185" s="47">
        <v>9.86</v>
      </c>
      <c r="D185" s="48">
        <f t="shared" si="8"/>
        <v>217.38</v>
      </c>
      <c r="E185" s="46">
        <v>32.08</v>
      </c>
      <c r="F185" s="601"/>
    </row>
    <row r="186" spans="1:6">
      <c r="A186" s="155">
        <v>2000</v>
      </c>
      <c r="B186" s="49" t="s">
        <v>1183</v>
      </c>
      <c r="C186" s="50">
        <v>10.41</v>
      </c>
      <c r="D186" s="49">
        <f t="shared" si="8"/>
        <v>229.5</v>
      </c>
      <c r="E186" s="49">
        <v>31.4</v>
      </c>
      <c r="F186" s="601"/>
    </row>
    <row r="187" spans="1:6">
      <c r="A187" s="155">
        <v>2000</v>
      </c>
      <c r="B187" s="46" t="s">
        <v>1184</v>
      </c>
      <c r="C187" s="47">
        <v>9.51</v>
      </c>
      <c r="D187" s="48">
        <f t="shared" si="8"/>
        <v>209.66</v>
      </c>
      <c r="E187" s="46">
        <v>32.33</v>
      </c>
      <c r="F187" s="601"/>
    </row>
    <row r="188" spans="1:6">
      <c r="A188" s="155">
        <v>2000</v>
      </c>
      <c r="B188" s="49" t="s">
        <v>1185</v>
      </c>
      <c r="C188" s="50">
        <v>9.7200000000000006</v>
      </c>
      <c r="D188" s="49">
        <f t="shared" si="8"/>
        <v>214.29</v>
      </c>
      <c r="E188" s="49">
        <v>25.28</v>
      </c>
      <c r="F188" s="601"/>
    </row>
    <row r="189" spans="1:6">
      <c r="A189" s="155">
        <v>2001</v>
      </c>
      <c r="B189" s="46" t="s">
        <v>1186</v>
      </c>
      <c r="C189" s="47">
        <v>10.06</v>
      </c>
      <c r="D189" s="48">
        <f t="shared" si="8"/>
        <v>221.78</v>
      </c>
      <c r="E189" s="46">
        <v>25.95</v>
      </c>
      <c r="F189" s="601"/>
    </row>
    <row r="190" spans="1:6">
      <c r="A190" s="155">
        <v>2001</v>
      </c>
      <c r="B190" s="49" t="s">
        <v>1187</v>
      </c>
      <c r="C190" s="50">
        <v>9.36</v>
      </c>
      <c r="D190" s="49">
        <f t="shared" si="8"/>
        <v>206.35</v>
      </c>
      <c r="E190" s="49">
        <v>27.24</v>
      </c>
      <c r="F190" s="601"/>
    </row>
    <row r="191" spans="1:6">
      <c r="A191" s="155">
        <v>2001</v>
      </c>
      <c r="B191" s="46" t="s">
        <v>1188</v>
      </c>
      <c r="C191" s="47">
        <v>8.7200000000000006</v>
      </c>
      <c r="D191" s="48">
        <f t="shared" si="8"/>
        <v>192.24</v>
      </c>
      <c r="E191" s="46">
        <v>25.02</v>
      </c>
      <c r="F191" s="601"/>
    </row>
    <row r="192" spans="1:6">
      <c r="A192" s="155">
        <v>2001</v>
      </c>
      <c r="B192" s="49" t="s">
        <v>1189</v>
      </c>
      <c r="C192" s="50">
        <v>8.0500000000000007</v>
      </c>
      <c r="D192" s="49">
        <f t="shared" si="8"/>
        <v>177.47</v>
      </c>
      <c r="E192" s="49">
        <v>25.66</v>
      </c>
      <c r="F192" s="601"/>
    </row>
    <row r="193" spans="1:6">
      <c r="A193" s="155">
        <v>2001</v>
      </c>
      <c r="B193" s="46" t="s">
        <v>1190</v>
      </c>
      <c r="C193" s="47">
        <v>8.9600000000000009</v>
      </c>
      <c r="D193" s="48">
        <f t="shared" si="8"/>
        <v>197.53</v>
      </c>
      <c r="E193" s="46">
        <v>27.55</v>
      </c>
      <c r="F193" s="601"/>
    </row>
    <row r="194" spans="1:6">
      <c r="A194" s="155">
        <v>2001</v>
      </c>
      <c r="B194" s="49" t="s">
        <v>1191</v>
      </c>
      <c r="C194" s="50">
        <v>8.74</v>
      </c>
      <c r="D194" s="49">
        <f t="shared" si="8"/>
        <v>192.68</v>
      </c>
      <c r="E194" s="49">
        <v>26.97</v>
      </c>
      <c r="F194" s="601"/>
    </row>
    <row r="195" spans="1:6">
      <c r="A195" s="155">
        <v>2001</v>
      </c>
      <c r="B195" s="46" t="s">
        <v>1192</v>
      </c>
      <c r="C195" s="47">
        <v>8.5399999999999991</v>
      </c>
      <c r="D195" s="48">
        <f t="shared" si="8"/>
        <v>188.27</v>
      </c>
      <c r="E195" s="46">
        <v>24.8</v>
      </c>
      <c r="F195" s="601"/>
    </row>
    <row r="196" spans="1:6">
      <c r="A196" s="155">
        <v>2001</v>
      </c>
      <c r="B196" s="49" t="s">
        <v>1193</v>
      </c>
      <c r="C196" s="50">
        <v>7.9</v>
      </c>
      <c r="D196" s="49">
        <f t="shared" si="8"/>
        <v>174.16</v>
      </c>
      <c r="E196" s="49">
        <v>25.81</v>
      </c>
      <c r="F196" s="601"/>
    </row>
    <row r="197" spans="1:6">
      <c r="A197" s="155">
        <v>2001</v>
      </c>
      <c r="B197" s="46" t="s">
        <v>1194</v>
      </c>
      <c r="C197" s="47">
        <v>7.16</v>
      </c>
      <c r="D197" s="48">
        <f t="shared" si="8"/>
        <v>157.85</v>
      </c>
      <c r="E197" s="46">
        <v>25.03</v>
      </c>
      <c r="F197" s="601"/>
    </row>
    <row r="198" spans="1:6">
      <c r="A198" s="155">
        <v>2001</v>
      </c>
      <c r="B198" s="49" t="s">
        <v>1195</v>
      </c>
      <c r="C198" s="50">
        <v>6.6</v>
      </c>
      <c r="D198" s="49">
        <f t="shared" si="8"/>
        <v>145.5</v>
      </c>
      <c r="E198" s="49">
        <v>20.73</v>
      </c>
      <c r="F198" s="601"/>
    </row>
    <row r="199" spans="1:6">
      <c r="A199" s="155">
        <v>2001</v>
      </c>
      <c r="B199" s="46" t="s">
        <v>1196</v>
      </c>
      <c r="C199" s="47">
        <v>7.28</v>
      </c>
      <c r="D199" s="48">
        <f t="shared" si="8"/>
        <v>160.5</v>
      </c>
      <c r="E199" s="46">
        <v>18.690000000000001</v>
      </c>
      <c r="F199" s="601"/>
    </row>
    <row r="200" spans="1:6">
      <c r="A200" s="155">
        <v>2001</v>
      </c>
      <c r="B200" s="49" t="s">
        <v>1197</v>
      </c>
      <c r="C200" s="50">
        <v>7.41</v>
      </c>
      <c r="D200" s="49">
        <f t="shared" si="8"/>
        <v>163.36000000000001</v>
      </c>
      <c r="E200" s="49">
        <v>18.52</v>
      </c>
      <c r="F200" s="601"/>
    </row>
    <row r="201" spans="1:6">
      <c r="A201" s="155">
        <v>2002</v>
      </c>
      <c r="B201" s="46" t="s">
        <v>1198</v>
      </c>
      <c r="C201" s="47">
        <v>7.31</v>
      </c>
      <c r="D201" s="48">
        <f t="shared" si="8"/>
        <v>161.16</v>
      </c>
      <c r="E201" s="46">
        <v>19.149999999999999</v>
      </c>
      <c r="F201" s="601"/>
    </row>
    <row r="202" spans="1:6">
      <c r="A202" s="155">
        <v>2002</v>
      </c>
      <c r="B202" s="49" t="s">
        <v>1199</v>
      </c>
      <c r="C202" s="50">
        <v>5.68</v>
      </c>
      <c r="D202" s="49">
        <f t="shared" si="8"/>
        <v>125.22</v>
      </c>
      <c r="E202" s="49">
        <v>19.98</v>
      </c>
      <c r="F202" s="601"/>
    </row>
    <row r="203" spans="1:6">
      <c r="A203" s="155">
        <v>2002</v>
      </c>
      <c r="B203" s="46" t="s">
        <v>1200</v>
      </c>
      <c r="C203" s="47">
        <v>5.92</v>
      </c>
      <c r="D203" s="48">
        <f t="shared" si="8"/>
        <v>130.51</v>
      </c>
      <c r="E203" s="46">
        <v>23.64</v>
      </c>
      <c r="F203" s="601"/>
    </row>
    <row r="204" spans="1:6">
      <c r="A204" s="155">
        <v>2002</v>
      </c>
      <c r="B204" s="49" t="s">
        <v>1201</v>
      </c>
      <c r="C204" s="50">
        <v>5.18</v>
      </c>
      <c r="D204" s="49">
        <f t="shared" si="8"/>
        <v>114.2</v>
      </c>
      <c r="E204" s="49">
        <v>25.43</v>
      </c>
      <c r="F204" s="601"/>
    </row>
    <row r="205" spans="1:6">
      <c r="A205" s="155">
        <v>2002</v>
      </c>
      <c r="B205" s="46" t="s">
        <v>1202</v>
      </c>
      <c r="C205" s="47">
        <v>5.61</v>
      </c>
      <c r="D205" s="48">
        <f t="shared" ref="D205:D268" si="9">ROUND(C205*($C$7/$C$8),2)</f>
        <v>123.68</v>
      </c>
      <c r="E205" s="46">
        <v>25.69</v>
      </c>
      <c r="F205" s="601"/>
    </row>
    <row r="206" spans="1:6">
      <c r="A206" s="155">
        <v>2002</v>
      </c>
      <c r="B206" s="49" t="s">
        <v>1203</v>
      </c>
      <c r="C206" s="50">
        <v>5.25</v>
      </c>
      <c r="D206" s="49">
        <f t="shared" si="9"/>
        <v>115.74</v>
      </c>
      <c r="E206" s="49">
        <v>24.49</v>
      </c>
      <c r="F206" s="601"/>
    </row>
    <row r="207" spans="1:6">
      <c r="A207" s="155">
        <v>2002</v>
      </c>
      <c r="B207" s="46" t="s">
        <v>1204</v>
      </c>
      <c r="C207" s="47">
        <v>5.79</v>
      </c>
      <c r="D207" s="48">
        <f t="shared" si="9"/>
        <v>127.65</v>
      </c>
      <c r="E207" s="46">
        <v>25.75</v>
      </c>
      <c r="F207" s="601"/>
    </row>
    <row r="208" spans="1:6">
      <c r="A208" s="155">
        <v>2002</v>
      </c>
      <c r="B208" s="49" t="s">
        <v>1205</v>
      </c>
      <c r="C208" s="50">
        <v>5.86</v>
      </c>
      <c r="D208" s="49">
        <f t="shared" si="9"/>
        <v>129.19</v>
      </c>
      <c r="E208" s="49">
        <v>26.78</v>
      </c>
      <c r="F208" s="601"/>
    </row>
    <row r="209" spans="1:6">
      <c r="A209" s="155">
        <v>2002</v>
      </c>
      <c r="B209" s="46" t="s">
        <v>1206</v>
      </c>
      <c r="C209" s="47">
        <v>6.41</v>
      </c>
      <c r="D209" s="48">
        <f t="shared" si="9"/>
        <v>141.32</v>
      </c>
      <c r="E209" s="46">
        <v>28.28</v>
      </c>
      <c r="F209" s="601"/>
    </row>
    <row r="210" spans="1:6">
      <c r="A210" s="155">
        <v>2002</v>
      </c>
      <c r="B210" s="49" t="s">
        <v>1207</v>
      </c>
      <c r="C210" s="50">
        <v>7.02</v>
      </c>
      <c r="D210" s="49">
        <f t="shared" si="9"/>
        <v>154.76</v>
      </c>
      <c r="E210" s="49">
        <v>27.53</v>
      </c>
      <c r="F210" s="601"/>
    </row>
    <row r="211" spans="1:6">
      <c r="A211" s="155">
        <v>2002</v>
      </c>
      <c r="B211" s="46" t="s">
        <v>1208</v>
      </c>
      <c r="C211" s="47">
        <v>7.3</v>
      </c>
      <c r="D211" s="48">
        <f t="shared" si="9"/>
        <v>160.94</v>
      </c>
      <c r="E211" s="46">
        <v>24.79</v>
      </c>
      <c r="F211" s="601"/>
    </row>
    <row r="212" spans="1:6">
      <c r="A212" s="155">
        <v>2002</v>
      </c>
      <c r="B212" s="49" t="s">
        <v>1209</v>
      </c>
      <c r="C212" s="50">
        <v>7.51</v>
      </c>
      <c r="D212" s="49">
        <f t="shared" si="9"/>
        <v>165.57</v>
      </c>
      <c r="E212" s="49">
        <v>27.89</v>
      </c>
      <c r="F212" s="601"/>
    </row>
    <row r="213" spans="1:6">
      <c r="A213" s="155">
        <v>2003</v>
      </c>
      <c r="B213" s="46" t="s">
        <v>1210</v>
      </c>
      <c r="C213" s="47">
        <v>7.89</v>
      </c>
      <c r="D213" s="48">
        <f t="shared" si="9"/>
        <v>173.94</v>
      </c>
      <c r="E213" s="46">
        <v>30.77</v>
      </c>
      <c r="F213" s="601"/>
    </row>
    <row r="214" spans="1:6">
      <c r="A214" s="155">
        <v>2003</v>
      </c>
      <c r="B214" s="49" t="s">
        <v>1211</v>
      </c>
      <c r="C214" s="50">
        <v>8.35</v>
      </c>
      <c r="D214" s="49">
        <f t="shared" si="9"/>
        <v>184.09</v>
      </c>
      <c r="E214" s="49">
        <v>32.880000000000003</v>
      </c>
      <c r="F214" s="601"/>
    </row>
    <row r="215" spans="1:6">
      <c r="A215" s="155">
        <v>2003</v>
      </c>
      <c r="B215" s="46" t="s">
        <v>1212</v>
      </c>
      <c r="C215" s="47">
        <v>7.84</v>
      </c>
      <c r="D215" s="48">
        <f t="shared" si="9"/>
        <v>172.84</v>
      </c>
      <c r="E215" s="46">
        <v>30.36</v>
      </c>
      <c r="F215" s="601"/>
    </row>
    <row r="216" spans="1:6">
      <c r="A216" s="155">
        <v>2003</v>
      </c>
      <c r="B216" s="49" t="s">
        <v>1213</v>
      </c>
      <c r="C216" s="50">
        <v>7.26</v>
      </c>
      <c r="D216" s="49">
        <f t="shared" si="9"/>
        <v>160.06</v>
      </c>
      <c r="E216" s="49">
        <v>25.49</v>
      </c>
      <c r="F216" s="601"/>
    </row>
    <row r="217" spans="1:6">
      <c r="A217" s="155">
        <v>2003</v>
      </c>
      <c r="B217" s="46" t="s">
        <v>1214</v>
      </c>
      <c r="C217" s="47">
        <v>7.01</v>
      </c>
      <c r="D217" s="48">
        <f t="shared" si="9"/>
        <v>154.54</v>
      </c>
      <c r="E217" s="46">
        <v>26.06</v>
      </c>
      <c r="F217" s="601"/>
    </row>
    <row r="218" spans="1:6">
      <c r="A218" s="155">
        <v>2003</v>
      </c>
      <c r="B218" s="49" t="s">
        <v>1215</v>
      </c>
      <c r="C218" s="50">
        <v>6.4</v>
      </c>
      <c r="D218" s="49">
        <f t="shared" si="9"/>
        <v>141.1</v>
      </c>
      <c r="E218" s="49">
        <v>27.91</v>
      </c>
      <c r="F218" s="601"/>
    </row>
    <row r="219" spans="1:6">
      <c r="A219" s="155">
        <v>2003</v>
      </c>
      <c r="B219" s="46" t="s">
        <v>1216</v>
      </c>
      <c r="C219" s="47">
        <v>6.73</v>
      </c>
      <c r="D219" s="48">
        <f t="shared" si="9"/>
        <v>148.37</v>
      </c>
      <c r="E219" s="46">
        <v>28.59</v>
      </c>
      <c r="F219" s="601"/>
    </row>
    <row r="220" spans="1:6">
      <c r="A220" s="155">
        <v>2003</v>
      </c>
      <c r="B220" s="49" t="s">
        <v>1217</v>
      </c>
      <c r="C220" s="50">
        <v>6.71</v>
      </c>
      <c r="D220" s="49">
        <f t="shared" si="9"/>
        <v>147.93</v>
      </c>
      <c r="E220" s="49">
        <v>29.68</v>
      </c>
      <c r="F220" s="601"/>
    </row>
    <row r="221" spans="1:6">
      <c r="A221" s="155">
        <v>2003</v>
      </c>
      <c r="B221" s="46" t="s">
        <v>1218</v>
      </c>
      <c r="C221" s="47">
        <v>6.27</v>
      </c>
      <c r="D221" s="48">
        <f t="shared" si="9"/>
        <v>138.22999999999999</v>
      </c>
      <c r="E221" s="46">
        <v>26.88</v>
      </c>
      <c r="F221" s="601"/>
    </row>
    <row r="222" spans="1:6">
      <c r="A222" s="155">
        <v>2003</v>
      </c>
      <c r="B222" s="49" t="s">
        <v>1219</v>
      </c>
      <c r="C222" s="50">
        <v>6.1</v>
      </c>
      <c r="D222" s="49">
        <f t="shared" si="9"/>
        <v>134.47999999999999</v>
      </c>
      <c r="E222" s="49">
        <v>29.01</v>
      </c>
      <c r="F222" s="601"/>
    </row>
    <row r="223" spans="1:6">
      <c r="A223" s="155">
        <v>2003</v>
      </c>
      <c r="B223" s="46" t="s">
        <v>1220</v>
      </c>
      <c r="C223" s="47">
        <v>6.19</v>
      </c>
      <c r="D223" s="48">
        <f t="shared" si="9"/>
        <v>136.47</v>
      </c>
      <c r="E223" s="46">
        <v>29.12</v>
      </c>
      <c r="F223" s="601"/>
    </row>
    <row r="224" spans="1:6">
      <c r="A224" s="155">
        <v>2003</v>
      </c>
      <c r="B224" s="49" t="s">
        <v>1221</v>
      </c>
      <c r="C224" s="50">
        <v>6.34</v>
      </c>
      <c r="D224" s="49">
        <f t="shared" si="9"/>
        <v>139.77000000000001</v>
      </c>
      <c r="E224" s="49">
        <v>29.95</v>
      </c>
      <c r="F224" s="601"/>
    </row>
    <row r="225" spans="1:6">
      <c r="A225" s="155">
        <v>2004</v>
      </c>
      <c r="B225" s="46" t="s">
        <v>1222</v>
      </c>
      <c r="C225" s="47">
        <v>6.03</v>
      </c>
      <c r="D225" s="48">
        <f t="shared" si="9"/>
        <v>132.94</v>
      </c>
      <c r="E225" s="46">
        <v>31.4</v>
      </c>
      <c r="F225" s="601"/>
    </row>
    <row r="226" spans="1:6">
      <c r="A226" s="155">
        <v>2004</v>
      </c>
      <c r="B226" s="49" t="s">
        <v>1223</v>
      </c>
      <c r="C226" s="50">
        <v>5.87</v>
      </c>
      <c r="D226" s="49">
        <f t="shared" si="9"/>
        <v>129.41</v>
      </c>
      <c r="E226" s="49">
        <v>31.32</v>
      </c>
      <c r="F226" s="601"/>
    </row>
    <row r="227" spans="1:6">
      <c r="A227" s="155">
        <v>2004</v>
      </c>
      <c r="B227" s="46" t="s">
        <v>1224</v>
      </c>
      <c r="C227" s="47">
        <v>6.5</v>
      </c>
      <c r="D227" s="48">
        <f t="shared" si="9"/>
        <v>143.30000000000001</v>
      </c>
      <c r="E227" s="46">
        <v>33.67</v>
      </c>
      <c r="F227" s="601"/>
    </row>
    <row r="228" spans="1:6">
      <c r="A228" s="155">
        <v>2004</v>
      </c>
      <c r="B228" s="49" t="s">
        <v>1225</v>
      </c>
      <c r="C228" s="50">
        <v>6.86</v>
      </c>
      <c r="D228" s="49">
        <f t="shared" si="9"/>
        <v>151.24</v>
      </c>
      <c r="E228" s="49">
        <v>33.71</v>
      </c>
      <c r="F228" s="601"/>
    </row>
    <row r="229" spans="1:6">
      <c r="A229" s="155">
        <v>2004</v>
      </c>
      <c r="B229" s="46" t="s">
        <v>1226</v>
      </c>
      <c r="C229" s="47">
        <v>6.62</v>
      </c>
      <c r="D229" s="48">
        <f t="shared" si="9"/>
        <v>145.94999999999999</v>
      </c>
      <c r="E229" s="46">
        <v>37.630000000000003</v>
      </c>
      <c r="F229" s="601"/>
    </row>
    <row r="230" spans="1:6">
      <c r="A230" s="155">
        <v>2004</v>
      </c>
      <c r="B230" s="49" t="s">
        <v>1227</v>
      </c>
      <c r="C230" s="50">
        <v>7.51</v>
      </c>
      <c r="D230" s="49">
        <f t="shared" si="9"/>
        <v>165.57</v>
      </c>
      <c r="E230" s="49">
        <v>35.54</v>
      </c>
      <c r="F230" s="601"/>
    </row>
    <row r="231" spans="1:6">
      <c r="A231" s="155">
        <v>2004</v>
      </c>
      <c r="B231" s="46" t="s">
        <v>1228</v>
      </c>
      <c r="C231" s="47">
        <v>8.17</v>
      </c>
      <c r="D231" s="48">
        <f t="shared" si="9"/>
        <v>180.12</v>
      </c>
      <c r="E231" s="46">
        <v>37.93</v>
      </c>
      <c r="F231" s="601"/>
    </row>
    <row r="232" spans="1:6">
      <c r="A232" s="155">
        <v>2004</v>
      </c>
      <c r="B232" s="49" t="s">
        <v>1229</v>
      </c>
      <c r="C232" s="50">
        <v>7.88</v>
      </c>
      <c r="D232" s="49">
        <f t="shared" si="9"/>
        <v>173.72</v>
      </c>
      <c r="E232" s="49">
        <v>42.08</v>
      </c>
      <c r="F232" s="601"/>
    </row>
    <row r="233" spans="1:6">
      <c r="A233" s="155">
        <v>2004</v>
      </c>
      <c r="B233" s="46" t="s">
        <v>1230</v>
      </c>
      <c r="C233" s="47">
        <v>8.67</v>
      </c>
      <c r="D233" s="48">
        <f t="shared" si="9"/>
        <v>191.14</v>
      </c>
      <c r="E233" s="46">
        <v>41.65</v>
      </c>
      <c r="F233" s="601"/>
    </row>
    <row r="234" spans="1:6">
      <c r="A234" s="155">
        <v>2004</v>
      </c>
      <c r="B234" s="49" t="s">
        <v>1231</v>
      </c>
      <c r="C234" s="50">
        <v>8.9600000000000009</v>
      </c>
      <c r="D234" s="49">
        <f t="shared" si="9"/>
        <v>197.53</v>
      </c>
      <c r="E234" s="49">
        <v>46.87</v>
      </c>
      <c r="F234" s="601"/>
    </row>
    <row r="235" spans="1:6">
      <c r="A235" s="155">
        <v>2004</v>
      </c>
      <c r="B235" s="46" t="s">
        <v>1232</v>
      </c>
      <c r="C235" s="47">
        <v>8.67</v>
      </c>
      <c r="D235" s="48">
        <f t="shared" si="9"/>
        <v>191.14</v>
      </c>
      <c r="E235" s="46">
        <v>42.23</v>
      </c>
      <c r="F235" s="601"/>
    </row>
    <row r="236" spans="1:6">
      <c r="A236" s="155">
        <v>2004</v>
      </c>
      <c r="B236" s="49" t="s">
        <v>1233</v>
      </c>
      <c r="C236" s="50">
        <v>8.8000000000000007</v>
      </c>
      <c r="D236" s="49">
        <f t="shared" si="9"/>
        <v>194.01</v>
      </c>
      <c r="E236" s="49">
        <v>39.090000000000003</v>
      </c>
      <c r="F236" s="601"/>
    </row>
    <row r="237" spans="1:6">
      <c r="A237" s="155">
        <v>2005</v>
      </c>
      <c r="B237" s="46" t="s">
        <v>1234</v>
      </c>
      <c r="C237" s="47">
        <v>8.92</v>
      </c>
      <c r="D237" s="48">
        <f t="shared" si="9"/>
        <v>196.65</v>
      </c>
      <c r="E237" s="46">
        <v>42.89</v>
      </c>
      <c r="F237" s="601"/>
    </row>
    <row r="238" spans="1:6">
      <c r="A238" s="155">
        <v>2005</v>
      </c>
      <c r="B238" s="49" t="s">
        <v>1235</v>
      </c>
      <c r="C238" s="50">
        <v>9.32</v>
      </c>
      <c r="D238" s="49">
        <f t="shared" si="9"/>
        <v>205.47</v>
      </c>
      <c r="E238" s="49">
        <v>44.56</v>
      </c>
      <c r="F238" s="601"/>
    </row>
    <row r="239" spans="1:6">
      <c r="A239" s="155">
        <v>2005</v>
      </c>
      <c r="B239" s="46" t="s">
        <v>1236</v>
      </c>
      <c r="C239" s="47">
        <v>8.9</v>
      </c>
      <c r="D239" s="48">
        <f t="shared" si="9"/>
        <v>196.21</v>
      </c>
      <c r="E239" s="46">
        <v>50.93</v>
      </c>
      <c r="F239" s="601"/>
    </row>
    <row r="240" spans="1:6">
      <c r="A240" s="155">
        <v>2005</v>
      </c>
      <c r="B240" s="49" t="s">
        <v>1237</v>
      </c>
      <c r="C240" s="50">
        <v>8.5299999999999994</v>
      </c>
      <c r="D240" s="49">
        <f t="shared" si="9"/>
        <v>188.05</v>
      </c>
      <c r="E240" s="49">
        <v>50.64</v>
      </c>
      <c r="F240" s="601"/>
    </row>
    <row r="241" spans="1:6">
      <c r="A241" s="155">
        <v>2005</v>
      </c>
      <c r="B241" s="46" t="s">
        <v>1238</v>
      </c>
      <c r="C241" s="47">
        <v>8.51</v>
      </c>
      <c r="D241" s="48">
        <f t="shared" si="9"/>
        <v>187.61</v>
      </c>
      <c r="E241" s="46">
        <v>47.81</v>
      </c>
      <c r="F241" s="601"/>
    </row>
    <row r="242" spans="1:6">
      <c r="A242" s="155">
        <v>2005</v>
      </c>
      <c r="B242" s="49" t="s">
        <v>1239</v>
      </c>
      <c r="C242" s="50">
        <v>9.0299999999999994</v>
      </c>
      <c r="D242" s="49">
        <f t="shared" si="9"/>
        <v>199.08</v>
      </c>
      <c r="E242" s="49">
        <v>53.89</v>
      </c>
      <c r="F242" s="601"/>
    </row>
    <row r="243" spans="1:6">
      <c r="A243" s="155">
        <v>2005</v>
      </c>
      <c r="B243" s="46" t="s">
        <v>1240</v>
      </c>
      <c r="C243" s="47">
        <v>9.6</v>
      </c>
      <c r="D243" s="48">
        <f t="shared" si="9"/>
        <v>211.64</v>
      </c>
      <c r="E243" s="46">
        <v>56.37</v>
      </c>
      <c r="F243" s="601"/>
    </row>
    <row r="244" spans="1:6">
      <c r="A244" s="155">
        <v>2005</v>
      </c>
      <c r="B244" s="49" t="s">
        <v>1241</v>
      </c>
      <c r="C244" s="50">
        <v>9.8800000000000008</v>
      </c>
      <c r="D244" s="49">
        <f t="shared" si="9"/>
        <v>217.82</v>
      </c>
      <c r="E244" s="49">
        <v>61.87</v>
      </c>
      <c r="F244" s="601"/>
    </row>
    <row r="245" spans="1:6">
      <c r="A245" s="155">
        <v>2005</v>
      </c>
      <c r="B245" s="46" t="s">
        <v>1242</v>
      </c>
      <c r="C245" s="47">
        <v>10.81</v>
      </c>
      <c r="D245" s="48">
        <f t="shared" si="9"/>
        <v>238.32</v>
      </c>
      <c r="E245" s="46">
        <v>61.65</v>
      </c>
      <c r="F245" s="601"/>
    </row>
    <row r="246" spans="1:6">
      <c r="A246" s="155">
        <v>2005</v>
      </c>
      <c r="B246" s="49" t="s">
        <v>1243</v>
      </c>
      <c r="C246" s="50">
        <v>11.61</v>
      </c>
      <c r="D246" s="49">
        <f t="shared" si="9"/>
        <v>255.96</v>
      </c>
      <c r="E246" s="49">
        <v>58.19</v>
      </c>
      <c r="F246" s="601"/>
    </row>
    <row r="247" spans="1:6">
      <c r="A247" s="155">
        <v>2005</v>
      </c>
      <c r="B247" s="46" t="s">
        <v>1244</v>
      </c>
      <c r="C247" s="47">
        <v>11.81</v>
      </c>
      <c r="D247" s="48">
        <f t="shared" si="9"/>
        <v>260.37</v>
      </c>
      <c r="E247" s="46">
        <v>54.98</v>
      </c>
      <c r="F247" s="601"/>
    </row>
    <row r="248" spans="1:6">
      <c r="A248" s="155">
        <v>2005</v>
      </c>
      <c r="B248" s="49" t="s">
        <v>1245</v>
      </c>
      <c r="C248" s="50">
        <v>13.93</v>
      </c>
      <c r="D248" s="49">
        <f t="shared" si="9"/>
        <v>307.10000000000002</v>
      </c>
      <c r="E248" s="49">
        <v>56.47</v>
      </c>
      <c r="F248" s="601"/>
    </row>
    <row r="249" spans="1:6">
      <c r="A249" s="155">
        <v>2006</v>
      </c>
      <c r="B249" s="46" t="s">
        <v>1246</v>
      </c>
      <c r="C249" s="47">
        <v>16.190000000000001</v>
      </c>
      <c r="D249" s="48">
        <f t="shared" si="9"/>
        <v>356.93</v>
      </c>
      <c r="E249" s="46">
        <v>62.36</v>
      </c>
      <c r="F249" s="601"/>
    </row>
    <row r="250" spans="1:6">
      <c r="A250" s="155">
        <v>2006</v>
      </c>
      <c r="B250" s="49" t="s">
        <v>1247</v>
      </c>
      <c r="C250" s="50">
        <v>18.05</v>
      </c>
      <c r="D250" s="49">
        <f t="shared" si="9"/>
        <v>397.93</v>
      </c>
      <c r="E250" s="49">
        <v>59.71</v>
      </c>
      <c r="F250" s="601"/>
    </row>
    <row r="251" spans="1:6">
      <c r="A251" s="155">
        <v>2006</v>
      </c>
      <c r="B251" s="46" t="s">
        <v>1248</v>
      </c>
      <c r="C251" s="47">
        <v>17.079999999999998</v>
      </c>
      <c r="D251" s="48">
        <f t="shared" si="9"/>
        <v>376.55</v>
      </c>
      <c r="E251" s="46">
        <v>60.93</v>
      </c>
      <c r="F251" s="601"/>
    </row>
    <row r="252" spans="1:6">
      <c r="A252" s="155">
        <v>2006</v>
      </c>
      <c r="B252" s="49" t="s">
        <v>1249</v>
      </c>
      <c r="C252" s="50">
        <v>17.46</v>
      </c>
      <c r="D252" s="49">
        <f t="shared" si="9"/>
        <v>384.93</v>
      </c>
      <c r="E252" s="49">
        <v>68</v>
      </c>
      <c r="F252" s="601"/>
    </row>
    <row r="253" spans="1:6">
      <c r="A253" s="155">
        <v>2006</v>
      </c>
      <c r="B253" s="46" t="s">
        <v>1250</v>
      </c>
      <c r="C253" s="47">
        <v>16.899999999999999</v>
      </c>
      <c r="D253" s="48">
        <f t="shared" si="9"/>
        <v>372.58</v>
      </c>
      <c r="E253" s="46">
        <v>68.61</v>
      </c>
      <c r="F253" s="601"/>
    </row>
    <row r="254" spans="1:6">
      <c r="A254" s="155">
        <v>2006</v>
      </c>
      <c r="B254" s="49" t="s">
        <v>1251</v>
      </c>
      <c r="C254" s="50">
        <v>15.69</v>
      </c>
      <c r="D254" s="49">
        <f t="shared" si="9"/>
        <v>345.9</v>
      </c>
      <c r="E254" s="49">
        <v>68.290000000000006</v>
      </c>
      <c r="F254" s="601"/>
    </row>
    <row r="255" spans="1:6">
      <c r="A255" s="155">
        <v>2006</v>
      </c>
      <c r="B255" s="46" t="s">
        <v>1252</v>
      </c>
      <c r="C255" s="47">
        <v>15.86</v>
      </c>
      <c r="D255" s="48">
        <f t="shared" si="9"/>
        <v>349.65</v>
      </c>
      <c r="E255" s="46">
        <v>72.510000000000005</v>
      </c>
      <c r="F255" s="601"/>
    </row>
    <row r="256" spans="1:6">
      <c r="A256" s="155">
        <v>2006</v>
      </c>
      <c r="B256" s="49" t="s">
        <v>1253</v>
      </c>
      <c r="C256" s="50">
        <v>12.98</v>
      </c>
      <c r="D256" s="49">
        <f t="shared" si="9"/>
        <v>286.16000000000003</v>
      </c>
      <c r="E256" s="49">
        <v>71.81</v>
      </c>
      <c r="F256" s="601"/>
    </row>
    <row r="257" spans="1:6">
      <c r="A257" s="155">
        <v>2006</v>
      </c>
      <c r="B257" s="46" t="s">
        <v>1254</v>
      </c>
      <c r="C257" s="47">
        <v>12.31</v>
      </c>
      <c r="D257" s="48">
        <f t="shared" si="9"/>
        <v>271.39</v>
      </c>
      <c r="E257" s="46">
        <v>61.97</v>
      </c>
      <c r="F257" s="601"/>
    </row>
    <row r="258" spans="1:6">
      <c r="A258" s="155">
        <v>2006</v>
      </c>
      <c r="B258" s="49" t="s">
        <v>1255</v>
      </c>
      <c r="C258" s="50">
        <v>11.51</v>
      </c>
      <c r="D258" s="49">
        <f t="shared" si="9"/>
        <v>253.75</v>
      </c>
      <c r="E258" s="49">
        <v>57.95</v>
      </c>
      <c r="F258" s="601"/>
    </row>
    <row r="259" spans="1:6">
      <c r="A259" s="155">
        <v>2006</v>
      </c>
      <c r="B259" s="46" t="s">
        <v>1256</v>
      </c>
      <c r="C259" s="47">
        <v>11.73</v>
      </c>
      <c r="D259" s="48">
        <f t="shared" si="9"/>
        <v>258.60000000000002</v>
      </c>
      <c r="E259" s="46">
        <v>58.13</v>
      </c>
      <c r="F259" s="601"/>
    </row>
    <row r="260" spans="1:6">
      <c r="A260" s="155">
        <v>2006</v>
      </c>
      <c r="B260" s="49" t="s">
        <v>1257</v>
      </c>
      <c r="C260" s="50">
        <v>11.7</v>
      </c>
      <c r="D260" s="49">
        <f t="shared" si="9"/>
        <v>257.94</v>
      </c>
      <c r="E260" s="49">
        <v>61</v>
      </c>
      <c r="F260" s="601"/>
    </row>
    <row r="261" spans="1:6">
      <c r="A261" s="155">
        <v>2007</v>
      </c>
      <c r="B261" s="46" t="s">
        <v>1258</v>
      </c>
      <c r="C261" s="47">
        <v>10.9</v>
      </c>
      <c r="D261" s="48">
        <f t="shared" si="9"/>
        <v>240.3</v>
      </c>
      <c r="E261" s="46">
        <v>53.4</v>
      </c>
      <c r="F261" s="601"/>
    </row>
    <row r="262" spans="1:6">
      <c r="A262" s="155">
        <v>2007</v>
      </c>
      <c r="B262" s="49" t="s">
        <v>1259</v>
      </c>
      <c r="C262" s="50">
        <v>10.57</v>
      </c>
      <c r="D262" s="49">
        <f t="shared" si="9"/>
        <v>233.03</v>
      </c>
      <c r="E262" s="49">
        <v>57.58</v>
      </c>
      <c r="F262" s="601"/>
    </row>
    <row r="263" spans="1:6">
      <c r="A263" s="155">
        <v>2007</v>
      </c>
      <c r="B263" s="46" t="s">
        <v>1260</v>
      </c>
      <c r="C263" s="47">
        <v>10.37</v>
      </c>
      <c r="D263" s="48">
        <f t="shared" si="9"/>
        <v>228.62</v>
      </c>
      <c r="E263" s="46">
        <v>60.6</v>
      </c>
      <c r="F263" s="601"/>
    </row>
    <row r="264" spans="1:6">
      <c r="A264" s="155">
        <v>2007</v>
      </c>
      <c r="B264" s="49" t="s">
        <v>1261</v>
      </c>
      <c r="C264" s="50">
        <v>9.59</v>
      </c>
      <c r="D264" s="49">
        <f t="shared" si="9"/>
        <v>211.42</v>
      </c>
      <c r="E264" s="49">
        <v>65.099999999999994</v>
      </c>
      <c r="F264" s="601"/>
    </row>
    <row r="265" spans="1:6">
      <c r="A265" s="155">
        <v>2007</v>
      </c>
      <c r="B265" s="46" t="s">
        <v>1262</v>
      </c>
      <c r="C265" s="47">
        <v>9.09</v>
      </c>
      <c r="D265" s="48">
        <f t="shared" si="9"/>
        <v>200.4</v>
      </c>
      <c r="E265" s="46">
        <v>65.099999999999994</v>
      </c>
      <c r="F265" s="601"/>
    </row>
    <row r="266" spans="1:6">
      <c r="A266" s="155">
        <v>2007</v>
      </c>
      <c r="B266" s="49" t="s">
        <v>1263</v>
      </c>
      <c r="C266" s="50">
        <v>9.26</v>
      </c>
      <c r="D266" s="49">
        <f t="shared" si="9"/>
        <v>204.15</v>
      </c>
      <c r="E266" s="49">
        <v>68.19</v>
      </c>
      <c r="F266" s="601"/>
    </row>
    <row r="267" spans="1:6">
      <c r="A267" s="155">
        <v>2007</v>
      </c>
      <c r="B267" s="46" t="s">
        <v>1264</v>
      </c>
      <c r="C267" s="47">
        <v>9.9</v>
      </c>
      <c r="D267" s="48">
        <f t="shared" si="9"/>
        <v>218.26</v>
      </c>
      <c r="E267" s="46">
        <v>73.67</v>
      </c>
      <c r="F267" s="601"/>
    </row>
    <row r="268" spans="1:6">
      <c r="A268" s="155">
        <v>2007</v>
      </c>
      <c r="B268" s="49" t="s">
        <v>1265</v>
      </c>
      <c r="C268" s="50">
        <v>9.61</v>
      </c>
      <c r="D268" s="49">
        <f t="shared" si="9"/>
        <v>211.86</v>
      </c>
      <c r="E268" s="49">
        <v>70.13</v>
      </c>
      <c r="F268" s="601"/>
    </row>
    <row r="269" spans="1:6">
      <c r="A269" s="155">
        <v>2007</v>
      </c>
      <c r="B269" s="46" t="s">
        <v>1266</v>
      </c>
      <c r="C269" s="47">
        <v>9.85</v>
      </c>
      <c r="D269" s="48">
        <f t="shared" ref="D269:D332" si="10">ROUND(C269*($C$7/$C$8),2)</f>
        <v>217.16</v>
      </c>
      <c r="E269" s="46">
        <v>76.91</v>
      </c>
      <c r="F269" s="601"/>
    </row>
    <row r="270" spans="1:6">
      <c r="A270" s="155">
        <v>2007</v>
      </c>
      <c r="B270" s="49" t="s">
        <v>1267</v>
      </c>
      <c r="C270" s="50">
        <v>9.99</v>
      </c>
      <c r="D270" s="49">
        <f t="shared" si="10"/>
        <v>220.24</v>
      </c>
      <c r="E270" s="49">
        <v>82.15</v>
      </c>
      <c r="F270" s="601"/>
    </row>
    <row r="271" spans="1:6">
      <c r="A271" s="155">
        <v>2007</v>
      </c>
      <c r="B271" s="46" t="s">
        <v>1268</v>
      </c>
      <c r="C271" s="47">
        <v>9.9</v>
      </c>
      <c r="D271" s="48">
        <f t="shared" si="10"/>
        <v>218.26</v>
      </c>
      <c r="E271" s="46">
        <v>91.27</v>
      </c>
      <c r="F271" s="601"/>
    </row>
    <row r="272" spans="1:6">
      <c r="A272" s="155">
        <v>2007</v>
      </c>
      <c r="B272" s="49" t="s">
        <v>1269</v>
      </c>
      <c r="C272" s="50">
        <v>10.45</v>
      </c>
      <c r="D272" s="49">
        <f t="shared" si="10"/>
        <v>230.38</v>
      </c>
      <c r="E272" s="49">
        <v>89.43</v>
      </c>
      <c r="F272" s="601"/>
    </row>
    <row r="273" spans="1:6">
      <c r="A273" s="155">
        <v>2008</v>
      </c>
      <c r="B273" s="46" t="s">
        <v>1270</v>
      </c>
      <c r="C273" s="47">
        <v>11.66</v>
      </c>
      <c r="D273" s="48">
        <f t="shared" si="10"/>
        <v>257.06</v>
      </c>
      <c r="E273" s="46">
        <v>90.82</v>
      </c>
      <c r="F273" s="601"/>
    </row>
    <row r="274" spans="1:6">
      <c r="A274" s="155">
        <v>2008</v>
      </c>
      <c r="B274" s="49" t="s">
        <v>1271</v>
      </c>
      <c r="C274" s="50">
        <v>13.61</v>
      </c>
      <c r="D274" s="49">
        <f t="shared" si="10"/>
        <v>300.05</v>
      </c>
      <c r="E274" s="49">
        <v>93.75</v>
      </c>
      <c r="F274" s="601"/>
    </row>
    <row r="275" spans="1:6">
      <c r="A275" s="155">
        <v>2008</v>
      </c>
      <c r="B275" s="46" t="s">
        <v>1272</v>
      </c>
      <c r="C275" s="47">
        <v>12.88</v>
      </c>
      <c r="D275" s="48">
        <f t="shared" si="10"/>
        <v>283.95999999999998</v>
      </c>
      <c r="E275" s="46">
        <v>101.84</v>
      </c>
      <c r="F275" s="601"/>
    </row>
    <row r="276" spans="1:6">
      <c r="A276" s="155">
        <v>2008</v>
      </c>
      <c r="B276" s="49" t="s">
        <v>1273</v>
      </c>
      <c r="C276" s="50">
        <v>12.52</v>
      </c>
      <c r="D276" s="49">
        <f t="shared" si="10"/>
        <v>276.02</v>
      </c>
      <c r="E276" s="49">
        <v>109.05</v>
      </c>
      <c r="F276" s="601"/>
    </row>
    <row r="277" spans="1:6">
      <c r="A277" s="155">
        <v>2008</v>
      </c>
      <c r="B277" s="46" t="s">
        <v>1274</v>
      </c>
      <c r="C277" s="47">
        <v>10.93</v>
      </c>
      <c r="D277" s="48">
        <f t="shared" si="10"/>
        <v>240.96</v>
      </c>
      <c r="E277" s="46">
        <v>122.77</v>
      </c>
      <c r="F277" s="601"/>
    </row>
    <row r="278" spans="1:6">
      <c r="A278" s="155">
        <v>2008</v>
      </c>
      <c r="B278" s="49" t="s">
        <v>1275</v>
      </c>
      <c r="C278" s="50">
        <v>12.07</v>
      </c>
      <c r="D278" s="49">
        <f t="shared" si="10"/>
        <v>266.10000000000002</v>
      </c>
      <c r="E278" s="49">
        <v>131.52000000000001</v>
      </c>
      <c r="F278" s="601"/>
    </row>
    <row r="279" spans="1:6">
      <c r="A279" s="155">
        <v>2008</v>
      </c>
      <c r="B279" s="46" t="s">
        <v>1276</v>
      </c>
      <c r="C279" s="47">
        <v>13.21</v>
      </c>
      <c r="D279" s="48">
        <f t="shared" si="10"/>
        <v>291.23</v>
      </c>
      <c r="E279" s="46">
        <v>132.55000000000001</v>
      </c>
      <c r="F279" s="601"/>
    </row>
    <row r="280" spans="1:6">
      <c r="A280" s="155">
        <v>2008</v>
      </c>
      <c r="B280" s="49" t="s">
        <v>1277</v>
      </c>
      <c r="C280" s="50">
        <v>13.68</v>
      </c>
      <c r="D280" s="49">
        <f t="shared" si="10"/>
        <v>301.58999999999997</v>
      </c>
      <c r="E280" s="49">
        <v>114.57</v>
      </c>
      <c r="F280" s="601"/>
    </row>
    <row r="281" spans="1:6">
      <c r="A281" s="155">
        <v>2008</v>
      </c>
      <c r="B281" s="46" t="s">
        <v>1278</v>
      </c>
      <c r="C281" s="47">
        <v>14.02</v>
      </c>
      <c r="D281" s="48">
        <f t="shared" si="10"/>
        <v>309.08999999999997</v>
      </c>
      <c r="E281" s="46">
        <v>99.29</v>
      </c>
      <c r="F281" s="601"/>
    </row>
    <row r="282" spans="1:6">
      <c r="A282" s="155">
        <v>2008</v>
      </c>
      <c r="B282" s="49" t="s">
        <v>1279</v>
      </c>
      <c r="C282" s="50">
        <v>11.7</v>
      </c>
      <c r="D282" s="49">
        <f t="shared" si="10"/>
        <v>257.94</v>
      </c>
      <c r="E282" s="49">
        <v>72.69</v>
      </c>
      <c r="F282" s="601"/>
    </row>
    <row r="283" spans="1:6">
      <c r="A283" s="155">
        <v>2008</v>
      </c>
      <c r="B283" s="46" t="s">
        <v>1280</v>
      </c>
      <c r="C283" s="47">
        <v>11.83</v>
      </c>
      <c r="D283" s="48">
        <f t="shared" si="10"/>
        <v>260.81</v>
      </c>
      <c r="E283" s="46">
        <v>54.04</v>
      </c>
      <c r="F283" s="601"/>
    </row>
    <row r="284" spans="1:6">
      <c r="A284" s="155">
        <v>2008</v>
      </c>
      <c r="B284" s="49" t="s">
        <v>1281</v>
      </c>
      <c r="C284" s="50">
        <v>11.32</v>
      </c>
      <c r="D284" s="49">
        <f t="shared" si="10"/>
        <v>249.56</v>
      </c>
      <c r="E284" s="49">
        <v>41.53</v>
      </c>
      <c r="F284" s="601"/>
    </row>
    <row r="285" spans="1:6">
      <c r="A285" s="155">
        <v>2009</v>
      </c>
      <c r="B285" s="46" t="s">
        <v>1282</v>
      </c>
      <c r="C285" s="47">
        <v>12.24</v>
      </c>
      <c r="D285" s="48">
        <f t="shared" si="10"/>
        <v>269.85000000000002</v>
      </c>
      <c r="E285" s="46">
        <v>43.91</v>
      </c>
      <c r="F285" s="601"/>
    </row>
    <row r="286" spans="1:6">
      <c r="A286" s="155">
        <v>2009</v>
      </c>
      <c r="B286" s="49" t="s">
        <v>1283</v>
      </c>
      <c r="C286" s="50">
        <v>13.31</v>
      </c>
      <c r="D286" s="49">
        <f t="shared" si="10"/>
        <v>293.43</v>
      </c>
      <c r="E286" s="49">
        <v>41.76</v>
      </c>
      <c r="F286" s="601"/>
    </row>
    <row r="287" spans="1:6">
      <c r="A287" s="155">
        <v>2009</v>
      </c>
      <c r="B287" s="46" t="s">
        <v>1284</v>
      </c>
      <c r="C287" s="47">
        <v>12.93</v>
      </c>
      <c r="D287" s="48">
        <f t="shared" si="10"/>
        <v>285.06</v>
      </c>
      <c r="E287" s="46">
        <v>46.95</v>
      </c>
      <c r="F287" s="601"/>
    </row>
    <row r="288" spans="1:6">
      <c r="A288" s="155">
        <v>2009</v>
      </c>
      <c r="B288" s="49" t="s">
        <v>1285</v>
      </c>
      <c r="C288" s="50">
        <v>13.47</v>
      </c>
      <c r="D288" s="49">
        <f t="shared" si="10"/>
        <v>296.95999999999998</v>
      </c>
      <c r="E288" s="49">
        <v>50.28</v>
      </c>
      <c r="F288" s="601"/>
    </row>
    <row r="289" spans="1:6">
      <c r="A289" s="155">
        <v>2009</v>
      </c>
      <c r="B289" s="46" t="s">
        <v>1286</v>
      </c>
      <c r="C289" s="47">
        <v>15.47</v>
      </c>
      <c r="D289" s="48">
        <f t="shared" si="10"/>
        <v>341.05</v>
      </c>
      <c r="E289" s="46">
        <v>58.1</v>
      </c>
      <c r="F289" s="601"/>
    </row>
    <row r="290" spans="1:6">
      <c r="A290" s="155">
        <v>2009</v>
      </c>
      <c r="B290" s="49" t="s">
        <v>1287</v>
      </c>
      <c r="C290" s="50">
        <v>16.579999999999998</v>
      </c>
      <c r="D290" s="49">
        <f t="shared" si="10"/>
        <v>365.53</v>
      </c>
      <c r="E290" s="49">
        <v>69.13</v>
      </c>
      <c r="F290" s="601"/>
    </row>
    <row r="291" spans="1:6">
      <c r="A291" s="155">
        <v>2009</v>
      </c>
      <c r="B291" s="46" t="s">
        <v>1288</v>
      </c>
      <c r="C291" s="47">
        <v>17.8</v>
      </c>
      <c r="D291" s="48">
        <f t="shared" si="10"/>
        <v>392.42</v>
      </c>
      <c r="E291" s="46">
        <v>64.650000000000006</v>
      </c>
      <c r="F291" s="601"/>
    </row>
    <row r="292" spans="1:6">
      <c r="A292" s="155">
        <v>2009</v>
      </c>
      <c r="B292" s="49" t="s">
        <v>1289</v>
      </c>
      <c r="C292" s="50">
        <v>21.72</v>
      </c>
      <c r="D292" s="49">
        <f t="shared" si="10"/>
        <v>478.84</v>
      </c>
      <c r="E292" s="49">
        <v>71.63</v>
      </c>
      <c r="F292" s="601"/>
    </row>
    <row r="293" spans="1:6">
      <c r="A293" s="155">
        <v>2009</v>
      </c>
      <c r="B293" s="46" t="s">
        <v>1290</v>
      </c>
      <c r="C293" s="47">
        <v>23.45</v>
      </c>
      <c r="D293" s="48">
        <f t="shared" si="10"/>
        <v>516.98</v>
      </c>
      <c r="E293" s="46">
        <v>68.38</v>
      </c>
      <c r="F293" s="601"/>
    </row>
    <row r="294" spans="1:6">
      <c r="A294" s="155">
        <v>2009</v>
      </c>
      <c r="B294" s="49" t="s">
        <v>1291</v>
      </c>
      <c r="C294" s="50">
        <v>23.16</v>
      </c>
      <c r="D294" s="49">
        <f t="shared" si="10"/>
        <v>510.59</v>
      </c>
      <c r="E294" s="49">
        <v>74.08</v>
      </c>
      <c r="F294" s="601"/>
    </row>
    <row r="295" spans="1:6">
      <c r="A295" s="155">
        <v>2009</v>
      </c>
      <c r="B295" s="46" t="s">
        <v>1292</v>
      </c>
      <c r="C295" s="47">
        <v>22.77</v>
      </c>
      <c r="D295" s="48">
        <f t="shared" si="10"/>
        <v>501.99</v>
      </c>
      <c r="E295" s="46">
        <v>77.56</v>
      </c>
      <c r="F295" s="601"/>
    </row>
    <row r="296" spans="1:6">
      <c r="A296" s="155">
        <v>2009</v>
      </c>
      <c r="B296" s="49" t="s">
        <v>1293</v>
      </c>
      <c r="C296" s="50">
        <v>24.9</v>
      </c>
      <c r="D296" s="49">
        <f t="shared" si="10"/>
        <v>548.95000000000005</v>
      </c>
      <c r="E296" s="49">
        <v>74.88</v>
      </c>
      <c r="F296" s="601"/>
    </row>
    <row r="297" spans="1:6">
      <c r="A297" s="155">
        <v>2010</v>
      </c>
      <c r="B297" s="46" t="s">
        <v>1294</v>
      </c>
      <c r="C297" s="47">
        <v>21.91</v>
      </c>
      <c r="D297" s="48">
        <f t="shared" si="10"/>
        <v>483.03</v>
      </c>
      <c r="E297" s="46">
        <v>77.12</v>
      </c>
      <c r="F297" s="601"/>
    </row>
    <row r="298" spans="1:6">
      <c r="A298" s="155">
        <v>2010</v>
      </c>
      <c r="B298" s="49" t="s">
        <v>1295</v>
      </c>
      <c r="C298" s="50">
        <v>21.98</v>
      </c>
      <c r="D298" s="49">
        <f t="shared" si="10"/>
        <v>484.58</v>
      </c>
      <c r="E298" s="49">
        <v>74.72</v>
      </c>
    </row>
    <row r="299" spans="1:6">
      <c r="A299" s="155">
        <v>2010</v>
      </c>
      <c r="B299" s="46" t="s">
        <v>1296</v>
      </c>
      <c r="C299" s="47">
        <v>18.149999999999999</v>
      </c>
      <c r="D299" s="48">
        <f t="shared" si="10"/>
        <v>400.14</v>
      </c>
      <c r="E299" s="46">
        <v>79.3</v>
      </c>
    </row>
    <row r="300" spans="1:6">
      <c r="A300" s="155">
        <v>2010</v>
      </c>
      <c r="B300" s="49" t="s">
        <v>1297</v>
      </c>
      <c r="C300" s="50">
        <v>16.89</v>
      </c>
      <c r="D300" s="49">
        <f t="shared" si="10"/>
        <v>372.36</v>
      </c>
      <c r="E300" s="49">
        <v>84.14</v>
      </c>
    </row>
    <row r="301" spans="1:6">
      <c r="A301" s="155">
        <v>2010</v>
      </c>
      <c r="B301" s="46" t="s">
        <v>1298</v>
      </c>
      <c r="C301" s="47">
        <v>15.11</v>
      </c>
      <c r="D301" s="48">
        <f t="shared" si="10"/>
        <v>333.12</v>
      </c>
      <c r="E301" s="46">
        <v>75.540000000000006</v>
      </c>
    </row>
    <row r="302" spans="1:6">
      <c r="A302" s="155">
        <v>2010</v>
      </c>
      <c r="B302" s="49" t="s">
        <v>1299</v>
      </c>
      <c r="C302" s="50">
        <v>16.3</v>
      </c>
      <c r="D302" s="49">
        <f t="shared" si="10"/>
        <v>359.35</v>
      </c>
      <c r="E302" s="49">
        <v>74.73</v>
      </c>
    </row>
    <row r="303" spans="1:6">
      <c r="A303" s="155">
        <v>2010</v>
      </c>
      <c r="B303" s="46" t="s">
        <v>1300</v>
      </c>
      <c r="C303" s="47">
        <v>17.690000000000001</v>
      </c>
      <c r="D303" s="48">
        <f t="shared" si="10"/>
        <v>390</v>
      </c>
      <c r="E303" s="46">
        <v>74.52</v>
      </c>
    </row>
    <row r="304" spans="1:6">
      <c r="A304" s="155">
        <v>2010</v>
      </c>
      <c r="B304" s="49" t="s">
        <v>1301</v>
      </c>
      <c r="C304" s="50">
        <v>18.600000000000001</v>
      </c>
      <c r="D304" s="49">
        <f t="shared" si="10"/>
        <v>410.06</v>
      </c>
      <c r="E304" s="49">
        <v>75.88</v>
      </c>
    </row>
    <row r="305" spans="1:5">
      <c r="A305" s="155">
        <v>2010</v>
      </c>
      <c r="B305" s="46" t="s">
        <v>1302</v>
      </c>
      <c r="C305" s="47">
        <v>22.67</v>
      </c>
      <c r="D305" s="48">
        <f t="shared" si="10"/>
        <v>499.79</v>
      </c>
      <c r="E305" s="46">
        <v>76.11</v>
      </c>
    </row>
    <row r="306" spans="1:5">
      <c r="A306" s="155">
        <v>2010</v>
      </c>
      <c r="B306" s="49" t="s">
        <v>1303</v>
      </c>
      <c r="C306" s="50">
        <v>26.94</v>
      </c>
      <c r="D306" s="49">
        <f t="shared" si="10"/>
        <v>593.91999999999996</v>
      </c>
      <c r="E306" s="49">
        <v>81.72</v>
      </c>
    </row>
    <row r="307" spans="1:5">
      <c r="A307" s="155">
        <v>2010</v>
      </c>
      <c r="B307" s="46" t="s">
        <v>1304</v>
      </c>
      <c r="C307" s="47">
        <v>26.42</v>
      </c>
      <c r="D307" s="48">
        <f t="shared" si="10"/>
        <v>582.46</v>
      </c>
      <c r="E307" s="46">
        <v>84.53</v>
      </c>
    </row>
    <row r="308" spans="1:5">
      <c r="A308" s="155">
        <v>2010</v>
      </c>
      <c r="B308" s="49" t="s">
        <v>1305</v>
      </c>
      <c r="C308" s="50">
        <v>28.04</v>
      </c>
      <c r="D308" s="49">
        <f t="shared" si="10"/>
        <v>618.17999999999995</v>
      </c>
      <c r="E308" s="49">
        <v>90.07</v>
      </c>
    </row>
    <row r="309" spans="1:5">
      <c r="A309" s="155">
        <v>2011</v>
      </c>
      <c r="B309" s="46" t="s">
        <v>1306</v>
      </c>
      <c r="C309" s="47">
        <v>29.74</v>
      </c>
      <c r="D309" s="48">
        <f t="shared" si="10"/>
        <v>655.65</v>
      </c>
      <c r="E309" s="46">
        <v>92.66</v>
      </c>
    </row>
    <row r="310" spans="1:5">
      <c r="A310" s="155">
        <v>2011</v>
      </c>
      <c r="B310" s="49" t="s">
        <v>1307</v>
      </c>
      <c r="C310" s="50">
        <v>29.31</v>
      </c>
      <c r="D310" s="49">
        <f t="shared" si="10"/>
        <v>646.16999999999996</v>
      </c>
      <c r="E310" s="49">
        <v>97.73</v>
      </c>
    </row>
    <row r="311" spans="1:5">
      <c r="A311" s="155">
        <v>2011</v>
      </c>
      <c r="B311" s="46" t="s">
        <v>1308</v>
      </c>
      <c r="C311" s="47">
        <v>25.9</v>
      </c>
      <c r="D311" s="48">
        <f t="shared" si="10"/>
        <v>571</v>
      </c>
      <c r="E311" s="46">
        <v>108.65</v>
      </c>
    </row>
    <row r="312" spans="1:5">
      <c r="A312" s="155">
        <v>2011</v>
      </c>
      <c r="B312" s="49" t="s">
        <v>1309</v>
      </c>
      <c r="C312" s="50">
        <v>23.9</v>
      </c>
      <c r="D312" s="49">
        <f t="shared" si="10"/>
        <v>526.9</v>
      </c>
      <c r="E312" s="49">
        <v>116.32</v>
      </c>
    </row>
    <row r="313" spans="1:5">
      <c r="A313" s="155">
        <v>2011</v>
      </c>
      <c r="B313" s="46" t="s">
        <v>1310</v>
      </c>
      <c r="C313" s="47">
        <v>21.84</v>
      </c>
      <c r="D313" s="48">
        <f t="shared" si="10"/>
        <v>481.49</v>
      </c>
      <c r="E313" s="46">
        <v>108.18</v>
      </c>
    </row>
    <row r="314" spans="1:5">
      <c r="A314" s="155">
        <v>2011</v>
      </c>
      <c r="B314" s="49" t="s">
        <v>1311</v>
      </c>
      <c r="C314" s="50">
        <v>24.92</v>
      </c>
      <c r="D314" s="49">
        <f t="shared" si="10"/>
        <v>549.39</v>
      </c>
      <c r="E314" s="49">
        <v>105.85</v>
      </c>
    </row>
    <row r="315" spans="1:5">
      <c r="A315" s="155">
        <v>2011</v>
      </c>
      <c r="B315" s="46" t="s">
        <v>1312</v>
      </c>
      <c r="C315" s="47">
        <v>29.47</v>
      </c>
      <c r="D315" s="48">
        <f t="shared" si="10"/>
        <v>649.70000000000005</v>
      </c>
      <c r="E315" s="46">
        <v>107.88</v>
      </c>
    </row>
    <row r="316" spans="1:5">
      <c r="A316" s="155">
        <v>2011</v>
      </c>
      <c r="B316" s="49" t="s">
        <v>1313</v>
      </c>
      <c r="C316" s="50">
        <v>28.87</v>
      </c>
      <c r="D316" s="49">
        <f t="shared" si="10"/>
        <v>636.47</v>
      </c>
      <c r="E316" s="49">
        <v>100.45</v>
      </c>
    </row>
    <row r="317" spans="1:5">
      <c r="A317" s="155">
        <v>2011</v>
      </c>
      <c r="B317" s="46" t="s">
        <v>1314</v>
      </c>
      <c r="C317" s="47">
        <v>26.64</v>
      </c>
      <c r="D317" s="48">
        <f t="shared" si="10"/>
        <v>587.30999999999995</v>
      </c>
      <c r="E317" s="46">
        <v>100.83</v>
      </c>
    </row>
    <row r="318" spans="1:5">
      <c r="A318" s="155">
        <v>2011</v>
      </c>
      <c r="B318" s="49" t="s">
        <v>1315</v>
      </c>
      <c r="C318" s="50">
        <v>26.3</v>
      </c>
      <c r="D318" s="49">
        <f t="shared" si="10"/>
        <v>579.82000000000005</v>
      </c>
      <c r="E318" s="49">
        <v>99.92</v>
      </c>
    </row>
    <row r="319" spans="1:5">
      <c r="A319" s="155">
        <v>2011</v>
      </c>
      <c r="B319" s="46" t="s">
        <v>1316</v>
      </c>
      <c r="C319" s="47">
        <v>24.52</v>
      </c>
      <c r="D319" s="48">
        <f t="shared" si="10"/>
        <v>540.57000000000005</v>
      </c>
      <c r="E319" s="46">
        <v>105.36</v>
      </c>
    </row>
    <row r="320" spans="1:5">
      <c r="A320" s="155">
        <v>2011</v>
      </c>
      <c r="B320" s="49" t="s">
        <v>1317</v>
      </c>
      <c r="C320" s="50">
        <v>23.42</v>
      </c>
      <c r="D320" s="49">
        <f t="shared" si="10"/>
        <v>516.32000000000005</v>
      </c>
      <c r="E320" s="49">
        <v>104.26</v>
      </c>
    </row>
    <row r="321" spans="1:5">
      <c r="A321" s="155">
        <v>2012</v>
      </c>
      <c r="B321" s="46" t="s">
        <v>1318</v>
      </c>
      <c r="C321" s="47">
        <v>24.02</v>
      </c>
      <c r="D321" s="48">
        <f t="shared" si="10"/>
        <v>529.54999999999995</v>
      </c>
      <c r="E321" s="46">
        <v>106.89</v>
      </c>
    </row>
    <row r="322" spans="1:5">
      <c r="A322" s="155">
        <v>2012</v>
      </c>
      <c r="B322" s="49" t="s">
        <v>1319</v>
      </c>
      <c r="C322" s="50">
        <v>23.42</v>
      </c>
      <c r="D322" s="49">
        <f t="shared" si="10"/>
        <v>516.32000000000005</v>
      </c>
      <c r="E322" s="49">
        <v>112.7</v>
      </c>
    </row>
    <row r="323" spans="1:5">
      <c r="A323" s="155">
        <v>2012</v>
      </c>
      <c r="B323" s="46" t="s">
        <v>1320</v>
      </c>
      <c r="C323" s="47">
        <v>23.79</v>
      </c>
      <c r="D323" s="48">
        <f t="shared" si="10"/>
        <v>524.48</v>
      </c>
      <c r="E323" s="46">
        <v>117.79</v>
      </c>
    </row>
    <row r="324" spans="1:5">
      <c r="A324" s="155">
        <v>2012</v>
      </c>
      <c r="B324" s="49" t="s">
        <v>1321</v>
      </c>
      <c r="C324" s="50">
        <v>22.48</v>
      </c>
      <c r="D324" s="49">
        <f t="shared" si="10"/>
        <v>495.6</v>
      </c>
      <c r="E324" s="49">
        <v>113.75</v>
      </c>
    </row>
    <row r="325" spans="1:5">
      <c r="A325" s="155">
        <v>2012</v>
      </c>
      <c r="B325" s="46" t="s">
        <v>1322</v>
      </c>
      <c r="C325" s="47">
        <v>20.27</v>
      </c>
      <c r="D325" s="48">
        <f t="shared" si="10"/>
        <v>446.88</v>
      </c>
      <c r="E325" s="46">
        <v>104.16</v>
      </c>
    </row>
    <row r="326" spans="1:5">
      <c r="A326" s="155">
        <v>2012</v>
      </c>
      <c r="B326" s="49" t="s">
        <v>1323</v>
      </c>
      <c r="C326" s="50">
        <v>20.100000000000001</v>
      </c>
      <c r="D326" s="49">
        <f t="shared" si="10"/>
        <v>443.13</v>
      </c>
      <c r="E326" s="49">
        <v>90.73</v>
      </c>
    </row>
    <row r="327" spans="1:5">
      <c r="A327" s="155">
        <v>2012</v>
      </c>
      <c r="B327" s="46" t="s">
        <v>1324</v>
      </c>
      <c r="C327" s="47">
        <v>22.76</v>
      </c>
      <c r="D327" s="48">
        <f t="shared" si="10"/>
        <v>501.77</v>
      </c>
      <c r="E327" s="46">
        <v>96.75</v>
      </c>
    </row>
    <row r="328" spans="1:5">
      <c r="A328" s="155">
        <v>2012</v>
      </c>
      <c r="B328" s="49" t="s">
        <v>1325</v>
      </c>
      <c r="C328" s="50">
        <v>20.56</v>
      </c>
      <c r="D328" s="49">
        <f t="shared" si="10"/>
        <v>453.27</v>
      </c>
      <c r="E328" s="49">
        <v>105.28</v>
      </c>
    </row>
    <row r="329" spans="1:5">
      <c r="A329" s="155">
        <v>2012</v>
      </c>
      <c r="B329" s="46" t="s">
        <v>1326</v>
      </c>
      <c r="C329" s="47">
        <v>20.21</v>
      </c>
      <c r="D329" s="48">
        <f t="shared" si="10"/>
        <v>445.55</v>
      </c>
      <c r="E329" s="46">
        <v>106.32</v>
      </c>
    </row>
    <row r="330" spans="1:5">
      <c r="A330" s="155">
        <v>2012</v>
      </c>
      <c r="B330" s="49" t="s">
        <v>1327</v>
      </c>
      <c r="C330" s="50">
        <v>20.39</v>
      </c>
      <c r="D330" s="49">
        <f t="shared" si="10"/>
        <v>449.52</v>
      </c>
      <c r="E330" s="49">
        <v>103.39</v>
      </c>
    </row>
    <row r="331" spans="1:5">
      <c r="A331" s="155">
        <v>2012</v>
      </c>
      <c r="B331" s="46" t="s">
        <v>1328</v>
      </c>
      <c r="C331" s="47">
        <v>19.309999999999999</v>
      </c>
      <c r="D331" s="48">
        <f t="shared" si="10"/>
        <v>425.71</v>
      </c>
      <c r="E331" s="46">
        <v>101.17</v>
      </c>
    </row>
    <row r="332" spans="1:5">
      <c r="A332" s="155">
        <v>2012</v>
      </c>
      <c r="B332" s="49" t="s">
        <v>1329</v>
      </c>
      <c r="C332" s="50">
        <v>19.2</v>
      </c>
      <c r="D332" s="49">
        <f t="shared" si="10"/>
        <v>423.29</v>
      </c>
      <c r="E332" s="49">
        <v>101.17</v>
      </c>
    </row>
    <row r="333" spans="1:5">
      <c r="A333" s="155">
        <v>2013</v>
      </c>
      <c r="B333" s="46" t="s">
        <v>1330</v>
      </c>
      <c r="C333" s="47">
        <v>18.850000000000001</v>
      </c>
      <c r="D333" s="48">
        <f t="shared" ref="D333:D370" si="11">ROUND(C333*($C$7/$C$8),2)</f>
        <v>415.57</v>
      </c>
      <c r="E333" s="46">
        <v>105.04</v>
      </c>
    </row>
    <row r="334" spans="1:5">
      <c r="A334" s="155">
        <v>2013</v>
      </c>
      <c r="B334" s="49" t="s">
        <v>1331</v>
      </c>
      <c r="C334" s="50">
        <v>18.21</v>
      </c>
      <c r="D334" s="49">
        <f t="shared" si="11"/>
        <v>401.46</v>
      </c>
      <c r="E334" s="49">
        <v>107.66</v>
      </c>
    </row>
    <row r="335" spans="1:5">
      <c r="A335" s="155">
        <v>2013</v>
      </c>
      <c r="B335" s="46" t="s">
        <v>1332</v>
      </c>
      <c r="C335" s="47">
        <v>18.34</v>
      </c>
      <c r="D335" s="48">
        <f t="shared" si="11"/>
        <v>404.33</v>
      </c>
      <c r="E335" s="46">
        <v>102.61</v>
      </c>
    </row>
    <row r="336" spans="1:5">
      <c r="A336" s="155">
        <v>2013</v>
      </c>
      <c r="B336" s="49" t="s">
        <v>1333</v>
      </c>
      <c r="C336" s="50">
        <v>17.66</v>
      </c>
      <c r="D336" s="49">
        <f t="shared" si="11"/>
        <v>389.34</v>
      </c>
      <c r="E336" s="49">
        <v>98.85</v>
      </c>
    </row>
    <row r="337" spans="1:5">
      <c r="A337" s="155">
        <v>2013</v>
      </c>
      <c r="B337" s="46" t="s">
        <v>1334</v>
      </c>
      <c r="C337" s="47">
        <v>17.43</v>
      </c>
      <c r="D337" s="48">
        <f t="shared" si="11"/>
        <v>384.27</v>
      </c>
      <c r="E337" s="46">
        <v>99.35</v>
      </c>
    </row>
    <row r="338" spans="1:5">
      <c r="A338" s="155">
        <v>2013</v>
      </c>
      <c r="B338" s="49" t="s">
        <v>1335</v>
      </c>
      <c r="C338" s="50">
        <v>16.96</v>
      </c>
      <c r="D338" s="49">
        <f t="shared" si="11"/>
        <v>373.9</v>
      </c>
      <c r="E338" s="49">
        <v>99.74</v>
      </c>
    </row>
    <row r="339" spans="1:5">
      <c r="A339" s="155">
        <v>2013</v>
      </c>
      <c r="B339" s="46" t="s">
        <v>1336</v>
      </c>
      <c r="C339" s="47">
        <v>17.100000000000001</v>
      </c>
      <c r="D339" s="48">
        <f t="shared" si="11"/>
        <v>376.99</v>
      </c>
      <c r="E339" s="46">
        <v>105.21</v>
      </c>
    </row>
    <row r="340" spans="1:5">
      <c r="A340" s="155">
        <v>2013</v>
      </c>
      <c r="B340" s="49" t="s">
        <v>1337</v>
      </c>
      <c r="C340" s="50">
        <v>17.239999999999998</v>
      </c>
      <c r="D340" s="49">
        <f t="shared" si="11"/>
        <v>380.08</v>
      </c>
      <c r="E340" s="49">
        <v>108.06</v>
      </c>
    </row>
    <row r="341" spans="1:5">
      <c r="A341" s="155">
        <v>2013</v>
      </c>
      <c r="B341" s="46" t="s">
        <v>1338</v>
      </c>
      <c r="C341" s="47">
        <v>17.62</v>
      </c>
      <c r="D341" s="48">
        <f t="shared" si="11"/>
        <v>388.45</v>
      </c>
      <c r="E341" s="46">
        <v>108.78</v>
      </c>
    </row>
    <row r="342" spans="1:5">
      <c r="A342" s="155">
        <v>2013</v>
      </c>
      <c r="B342" s="49" t="s">
        <v>1339</v>
      </c>
      <c r="C342" s="50">
        <v>18.809999999999999</v>
      </c>
      <c r="D342" s="49">
        <f t="shared" si="11"/>
        <v>414.69</v>
      </c>
      <c r="E342" s="49">
        <v>105.46</v>
      </c>
    </row>
    <row r="343" spans="1:5">
      <c r="A343" s="155">
        <v>2013</v>
      </c>
      <c r="B343" s="46" t="s">
        <v>1340</v>
      </c>
      <c r="C343" s="47">
        <v>17.75</v>
      </c>
      <c r="D343" s="48">
        <f t="shared" si="11"/>
        <v>391.32</v>
      </c>
      <c r="E343" s="46">
        <v>102.58</v>
      </c>
    </row>
    <row r="344" spans="1:5">
      <c r="A344" s="155">
        <v>2013</v>
      </c>
      <c r="B344" s="49" t="s">
        <v>1341</v>
      </c>
      <c r="C344" s="50">
        <v>16.54</v>
      </c>
      <c r="D344" s="49">
        <f t="shared" si="11"/>
        <v>364.64</v>
      </c>
      <c r="E344" s="49">
        <v>105.49</v>
      </c>
    </row>
    <row r="345" spans="1:5">
      <c r="A345" s="155">
        <v>2014</v>
      </c>
      <c r="B345" s="46" t="s">
        <v>1342</v>
      </c>
      <c r="C345" s="47">
        <v>15.71</v>
      </c>
      <c r="D345" s="48">
        <f t="shared" si="11"/>
        <v>346.35</v>
      </c>
      <c r="E345" s="46">
        <v>102.25</v>
      </c>
    </row>
    <row r="346" spans="1:5">
      <c r="A346" s="155">
        <v>2014</v>
      </c>
      <c r="B346" s="49" t="s">
        <v>1343</v>
      </c>
      <c r="C346" s="50">
        <v>16.89</v>
      </c>
      <c r="D346" s="49">
        <f t="shared" si="11"/>
        <v>372.36</v>
      </c>
      <c r="E346" s="49">
        <v>104.82</v>
      </c>
    </row>
    <row r="347" spans="1:5">
      <c r="A347" s="155">
        <v>2014</v>
      </c>
      <c r="B347" s="46" t="s">
        <v>1344</v>
      </c>
      <c r="C347" s="47">
        <v>17.89</v>
      </c>
      <c r="D347" s="48">
        <f t="shared" si="11"/>
        <v>394.41</v>
      </c>
      <c r="E347" s="46">
        <v>104.04</v>
      </c>
    </row>
    <row r="348" spans="1:5">
      <c r="A348" s="155">
        <v>2014</v>
      </c>
      <c r="B348" s="49" t="s">
        <v>1345</v>
      </c>
      <c r="C348" s="50">
        <v>18.21</v>
      </c>
      <c r="D348" s="49">
        <f t="shared" si="11"/>
        <v>401.46</v>
      </c>
      <c r="E348" s="49">
        <v>104.94</v>
      </c>
    </row>
    <row r="349" spans="1:5">
      <c r="A349" s="155">
        <v>2014</v>
      </c>
      <c r="B349" s="46" t="s">
        <v>1346</v>
      </c>
      <c r="C349" s="47">
        <v>18.239999999999998</v>
      </c>
      <c r="D349" s="48">
        <f t="shared" si="11"/>
        <v>402.12</v>
      </c>
      <c r="E349" s="46">
        <v>105.73</v>
      </c>
    </row>
    <row r="350" spans="1:5">
      <c r="A350" s="155">
        <v>2014</v>
      </c>
      <c r="B350" s="49" t="s">
        <v>1347</v>
      </c>
      <c r="C350" s="50">
        <v>18.239999999999998</v>
      </c>
      <c r="D350" s="49">
        <f t="shared" si="11"/>
        <v>402.12</v>
      </c>
      <c r="E350" s="49">
        <v>108.37</v>
      </c>
    </row>
    <row r="351" spans="1:5">
      <c r="A351" s="155">
        <v>2014</v>
      </c>
      <c r="B351" s="46" t="s">
        <v>1348</v>
      </c>
      <c r="C351" s="47">
        <v>18.73</v>
      </c>
      <c r="D351" s="48">
        <f t="shared" si="11"/>
        <v>412.93</v>
      </c>
      <c r="E351" s="46">
        <v>105.22</v>
      </c>
    </row>
    <row r="352" spans="1:5">
      <c r="A352" s="155">
        <v>2014</v>
      </c>
      <c r="B352" s="49" t="s">
        <v>1349</v>
      </c>
      <c r="C352" s="50">
        <v>17.72</v>
      </c>
      <c r="D352" s="49">
        <f t="shared" si="11"/>
        <v>390.66</v>
      </c>
      <c r="E352" s="49">
        <v>100.05</v>
      </c>
    </row>
    <row r="353" spans="1:5">
      <c r="A353" s="155">
        <v>2014</v>
      </c>
      <c r="B353" s="46" t="s">
        <v>1350</v>
      </c>
      <c r="C353" s="47">
        <v>16.54</v>
      </c>
      <c r="D353" s="48">
        <f t="shared" si="11"/>
        <v>364.64</v>
      </c>
      <c r="E353" s="46">
        <v>95.89</v>
      </c>
    </row>
    <row r="354" spans="1:5">
      <c r="A354" s="155">
        <v>2014</v>
      </c>
      <c r="B354" s="49" t="s">
        <v>1351</v>
      </c>
      <c r="C354" s="50">
        <v>16.48</v>
      </c>
      <c r="D354" s="49">
        <f t="shared" si="11"/>
        <v>363.32</v>
      </c>
      <c r="E354" s="49">
        <v>86.13</v>
      </c>
    </row>
    <row r="355" spans="1:5">
      <c r="A355" s="155">
        <v>2014</v>
      </c>
      <c r="B355" s="46" t="s">
        <v>1352</v>
      </c>
      <c r="C355" s="47">
        <v>15.88</v>
      </c>
      <c r="D355" s="48">
        <f t="shared" si="11"/>
        <v>350.09</v>
      </c>
      <c r="E355" s="46">
        <v>76.959999999999994</v>
      </c>
    </row>
    <row r="356" spans="1:5">
      <c r="A356" s="155">
        <v>2014</v>
      </c>
      <c r="B356" s="49" t="s">
        <v>1353</v>
      </c>
      <c r="C356" s="50">
        <v>14.99</v>
      </c>
      <c r="D356" s="49">
        <f t="shared" si="11"/>
        <v>330.47</v>
      </c>
      <c r="E356" s="49">
        <v>60.55</v>
      </c>
    </row>
    <row r="357" spans="1:5">
      <c r="A357" s="155">
        <v>2015</v>
      </c>
      <c r="B357" s="46" t="s">
        <v>1354</v>
      </c>
      <c r="C357" s="47">
        <v>15.06</v>
      </c>
      <c r="D357" s="48">
        <f t="shared" si="11"/>
        <v>332.02</v>
      </c>
      <c r="E357" s="46">
        <v>47.45</v>
      </c>
    </row>
    <row r="358" spans="1:5">
      <c r="A358" s="155">
        <v>2015</v>
      </c>
      <c r="B358" s="49" t="s">
        <v>1355</v>
      </c>
      <c r="C358" s="50">
        <v>14.51</v>
      </c>
      <c r="D358" s="49">
        <f t="shared" si="11"/>
        <v>319.89</v>
      </c>
      <c r="E358" s="49">
        <v>54.93</v>
      </c>
    </row>
    <row r="359" spans="1:5">
      <c r="A359" s="155">
        <v>2015</v>
      </c>
      <c r="B359" s="46" t="s">
        <v>1356</v>
      </c>
      <c r="C359" s="47">
        <v>12.84</v>
      </c>
      <c r="D359" s="48">
        <f t="shared" si="11"/>
        <v>283.07</v>
      </c>
      <c r="E359" s="46">
        <v>52.83</v>
      </c>
    </row>
    <row r="360" spans="1:5">
      <c r="A360" s="155">
        <v>2015</v>
      </c>
      <c r="B360" s="49" t="s">
        <v>1357</v>
      </c>
      <c r="C360" s="50">
        <v>12.91</v>
      </c>
      <c r="D360" s="49">
        <f t="shared" si="11"/>
        <v>284.62</v>
      </c>
      <c r="E360" s="49">
        <v>57.42</v>
      </c>
    </row>
    <row r="361" spans="1:5">
      <c r="A361" s="155">
        <v>2015</v>
      </c>
      <c r="B361" s="46" t="s">
        <v>1358</v>
      </c>
      <c r="C361" s="47">
        <v>12.7</v>
      </c>
      <c r="D361" s="48">
        <f t="shared" si="11"/>
        <v>279.99</v>
      </c>
      <c r="E361" s="46">
        <v>62.5</v>
      </c>
    </row>
    <row r="362" spans="1:5">
      <c r="A362" s="155">
        <v>2015</v>
      </c>
      <c r="B362" s="49" t="s">
        <v>1359</v>
      </c>
      <c r="C362" s="50">
        <v>12.11</v>
      </c>
      <c r="D362" s="49">
        <f t="shared" si="11"/>
        <v>266.98</v>
      </c>
      <c r="E362" s="49">
        <v>61.3</v>
      </c>
    </row>
    <row r="363" spans="1:5">
      <c r="A363" s="155">
        <v>2015</v>
      </c>
      <c r="B363" s="46" t="s">
        <v>1360</v>
      </c>
      <c r="C363" s="47">
        <v>11.88</v>
      </c>
      <c r="D363" s="48">
        <f t="shared" si="11"/>
        <v>261.91000000000003</v>
      </c>
      <c r="E363" s="46">
        <v>54.43</v>
      </c>
    </row>
    <row r="364" spans="1:5">
      <c r="A364" s="155">
        <v>2015</v>
      </c>
      <c r="B364" s="49" t="s">
        <v>1361</v>
      </c>
      <c r="C364" s="50">
        <v>10.67</v>
      </c>
      <c r="D364" s="49">
        <f t="shared" si="11"/>
        <v>235.23</v>
      </c>
      <c r="E364" s="49">
        <v>45.72</v>
      </c>
    </row>
    <row r="365" spans="1:5">
      <c r="A365" s="155">
        <v>2015</v>
      </c>
      <c r="B365" s="46" t="s">
        <v>1362</v>
      </c>
      <c r="C365" s="47">
        <v>12.14</v>
      </c>
      <c r="D365" s="48">
        <f t="shared" si="11"/>
        <v>267.64</v>
      </c>
      <c r="E365" s="46">
        <v>46.29</v>
      </c>
    </row>
    <row r="366" spans="1:5">
      <c r="A366" s="155">
        <v>2015</v>
      </c>
      <c r="B366" s="49" t="s">
        <v>1363</v>
      </c>
      <c r="C366" s="50">
        <v>14.14</v>
      </c>
      <c r="D366" s="49">
        <f t="shared" si="11"/>
        <v>311.73</v>
      </c>
      <c r="E366" s="49">
        <v>46.96</v>
      </c>
    </row>
    <row r="367" spans="1:5">
      <c r="A367" s="155">
        <v>2015</v>
      </c>
      <c r="B367" s="46" t="s">
        <v>1364</v>
      </c>
      <c r="C367" s="47">
        <v>14.89</v>
      </c>
      <c r="D367" s="48">
        <f t="shared" si="11"/>
        <v>328.27</v>
      </c>
      <c r="E367" s="46">
        <v>43.13</v>
      </c>
    </row>
    <row r="368" spans="1:5">
      <c r="A368" s="155">
        <v>2015</v>
      </c>
      <c r="B368" s="49" t="s">
        <v>1365</v>
      </c>
      <c r="C368" s="50">
        <v>15</v>
      </c>
      <c r="D368" s="49">
        <f t="shared" si="11"/>
        <v>330.69</v>
      </c>
      <c r="E368" s="49">
        <v>36.56</v>
      </c>
    </row>
    <row r="369" spans="1:5">
      <c r="A369" s="155">
        <v>2016</v>
      </c>
      <c r="B369" s="46" t="s">
        <v>1366</v>
      </c>
      <c r="C369" s="47">
        <v>14.29</v>
      </c>
      <c r="D369" s="48">
        <f t="shared" si="11"/>
        <v>315.04000000000002</v>
      </c>
      <c r="E369" s="46">
        <v>29.92</v>
      </c>
    </row>
    <row r="370" spans="1:5">
      <c r="A370" s="155">
        <v>2016</v>
      </c>
      <c r="B370" s="49" t="s">
        <v>1367</v>
      </c>
      <c r="C370" s="50">
        <v>13.29</v>
      </c>
      <c r="D370" s="49">
        <f t="shared" si="11"/>
        <v>292.99</v>
      </c>
      <c r="E370" s="49">
        <v>31.05</v>
      </c>
    </row>
  </sheetData>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B1:BO90"/>
  <sheetViews>
    <sheetView showGridLines="0" zoomScale="90" zoomScaleNormal="90" workbookViewId="0">
      <pane xSplit="2" ySplit="4" topLeftCell="J5" activePane="bottomRight" state="frozen"/>
      <selection activeCell="D88" sqref="D88"/>
      <selection pane="topRight" activeCell="D88" sqref="D88"/>
      <selection pane="bottomLeft" activeCell="D88" sqref="D88"/>
      <selection pane="bottomRight" activeCell="O52" sqref="O52"/>
    </sheetView>
  </sheetViews>
  <sheetFormatPr baseColWidth="10" defaultRowHeight="12.75" outlineLevelRow="1" outlineLevelCol="1"/>
  <cols>
    <col min="1" max="1" width="3.42578125" style="62" customWidth="1"/>
    <col min="2" max="2" width="48.42578125" style="62" customWidth="1"/>
    <col min="3" max="9" width="12.5703125" style="62" customWidth="1"/>
    <col min="10" max="10" width="4.28515625" style="88" customWidth="1"/>
    <col min="11" max="17" width="12.5703125" style="234" bestFit="1" customWidth="1"/>
    <col min="18" max="18" width="5" style="62" customWidth="1"/>
    <col min="19" max="25" width="11.42578125" style="62"/>
    <col min="26" max="26" width="5.7109375" style="62" customWidth="1"/>
    <col min="27" max="27" width="17.42578125" style="62" hidden="1" customWidth="1" outlineLevel="1"/>
    <col min="28" max="33" width="0" style="62" hidden="1" customWidth="1" outlineLevel="1"/>
    <col min="34" max="34" width="7" style="62" hidden="1" customWidth="1" outlineLevel="1"/>
    <col min="35" max="42" width="0" style="62" hidden="1" customWidth="1" outlineLevel="1"/>
    <col min="43" max="43" width="11.42578125" style="62" collapsed="1"/>
    <col min="44" max="16384" width="11.42578125" style="62"/>
  </cols>
  <sheetData>
    <row r="1" spans="2:67" ht="26.25">
      <c r="B1" s="29" t="s">
        <v>696</v>
      </c>
      <c r="C1" s="29"/>
      <c r="D1" s="29"/>
      <c r="E1" s="29"/>
      <c r="F1" s="29"/>
      <c r="G1" s="29"/>
      <c r="H1" s="29"/>
      <c r="I1" s="29"/>
      <c r="J1" s="51"/>
    </row>
    <row r="2" spans="2:67" ht="18">
      <c r="B2" s="200" t="s">
        <v>705</v>
      </c>
      <c r="C2" s="200"/>
      <c r="D2" s="200"/>
      <c r="E2" s="200"/>
      <c r="F2" s="200"/>
      <c r="G2" s="200"/>
      <c r="H2" s="200"/>
      <c r="I2" s="200"/>
      <c r="J2" s="201"/>
      <c r="K2" s="200" t="s">
        <v>1378</v>
      </c>
    </row>
    <row r="3" spans="2:67" ht="15">
      <c r="K3" s="202">
        <v>3.41</v>
      </c>
      <c r="L3" s="202">
        <v>2.99</v>
      </c>
      <c r="M3" s="202">
        <v>2.7959999999999998</v>
      </c>
      <c r="N3" s="202">
        <v>2.5510000000000002</v>
      </c>
      <c r="O3" s="202">
        <v>2.6970000000000001</v>
      </c>
      <c r="P3" s="202">
        <v>2.8090000000000002</v>
      </c>
      <c r="Q3" s="202">
        <v>2.891</v>
      </c>
      <c r="S3" s="1614" t="s">
        <v>1406</v>
      </c>
      <c r="T3" s="1615"/>
      <c r="U3" s="1615"/>
      <c r="V3" s="1615"/>
      <c r="W3" s="1615"/>
      <c r="X3" s="1615"/>
      <c r="Y3" s="1616"/>
      <c r="AA3" s="235" t="s">
        <v>1404</v>
      </c>
      <c r="AB3" s="73"/>
      <c r="AC3" s="236"/>
      <c r="AD3" s="236"/>
      <c r="AE3" s="236"/>
      <c r="AF3" s="236"/>
      <c r="AG3" s="236"/>
      <c r="AH3" s="237"/>
      <c r="AJ3" s="1614" t="s">
        <v>1407</v>
      </c>
      <c r="AK3" s="1615"/>
      <c r="AL3" s="1615"/>
      <c r="AM3" s="1615"/>
      <c r="AN3" s="1615"/>
      <c r="AO3" s="1615"/>
      <c r="AP3" s="1616"/>
      <c r="AR3" s="1614" t="s">
        <v>1408</v>
      </c>
      <c r="AS3" s="1615"/>
      <c r="AT3" s="1615"/>
      <c r="AU3" s="1615"/>
      <c r="AV3" s="1615"/>
      <c r="AW3" s="1615"/>
      <c r="AX3" s="1616"/>
      <c r="AZ3" s="235" t="s">
        <v>1409</v>
      </c>
      <c r="BA3" s="73"/>
      <c r="BB3" s="236"/>
      <c r="BC3" s="236"/>
      <c r="BD3" s="236"/>
      <c r="BE3" s="236"/>
      <c r="BF3" s="236"/>
      <c r="BG3" s="237"/>
      <c r="BI3" s="1614" t="s">
        <v>1410</v>
      </c>
      <c r="BJ3" s="1615"/>
      <c r="BK3" s="1615"/>
      <c r="BL3" s="1615"/>
      <c r="BM3" s="1615"/>
      <c r="BN3" s="1615"/>
      <c r="BO3" s="1616"/>
    </row>
    <row r="4" spans="2:67" s="208" customFormat="1">
      <c r="B4" s="238" t="s">
        <v>322</v>
      </c>
      <c r="C4" s="239">
        <v>2015</v>
      </c>
      <c r="D4" s="239">
        <v>2014</v>
      </c>
      <c r="E4" s="239">
        <v>2013</v>
      </c>
      <c r="F4" s="239">
        <v>2012</v>
      </c>
      <c r="G4" s="239">
        <v>2011</v>
      </c>
      <c r="H4" s="239">
        <v>2010</v>
      </c>
      <c r="I4" s="240">
        <v>2009</v>
      </c>
      <c r="J4" s="241"/>
      <c r="K4" s="242">
        <v>2015</v>
      </c>
      <c r="L4" s="239">
        <v>2014</v>
      </c>
      <c r="M4" s="239">
        <v>2013</v>
      </c>
      <c r="N4" s="239">
        <v>2012</v>
      </c>
      <c r="O4" s="239">
        <v>2011</v>
      </c>
      <c r="P4" s="239">
        <v>2010</v>
      </c>
      <c r="Q4" s="240">
        <v>2009</v>
      </c>
      <c r="S4" s="243">
        <v>2015</v>
      </c>
      <c r="T4" s="244">
        <v>2014</v>
      </c>
      <c r="U4" s="244">
        <v>2013</v>
      </c>
      <c r="V4" s="244">
        <v>2012</v>
      </c>
      <c r="W4" s="244">
        <v>2011</v>
      </c>
      <c r="X4" s="244">
        <v>2010</v>
      </c>
      <c r="Y4" s="245">
        <v>2009</v>
      </c>
      <c r="AA4" s="246"/>
      <c r="AB4" s="247">
        <v>2015</v>
      </c>
      <c r="AC4" s="247">
        <v>2014</v>
      </c>
      <c r="AD4" s="247">
        <v>2013</v>
      </c>
      <c r="AE4" s="247">
        <v>2012</v>
      </c>
      <c r="AF4" s="247">
        <v>2011</v>
      </c>
      <c r="AG4" s="247">
        <v>2010</v>
      </c>
      <c r="AH4" s="248">
        <v>2009</v>
      </c>
      <c r="AJ4" s="249">
        <v>2015</v>
      </c>
      <c r="AK4" s="132">
        <v>2014</v>
      </c>
      <c r="AL4" s="132">
        <v>2013</v>
      </c>
      <c r="AM4" s="132">
        <v>2012</v>
      </c>
      <c r="AN4" s="132">
        <v>2011</v>
      </c>
      <c r="AO4" s="132">
        <v>2010</v>
      </c>
      <c r="AP4" s="250">
        <v>2009</v>
      </c>
      <c r="AR4" s="249">
        <v>2009</v>
      </c>
      <c r="AS4" s="132">
        <v>2010</v>
      </c>
      <c r="AT4" s="132">
        <v>2011</v>
      </c>
      <c r="AU4" s="132">
        <v>2012</v>
      </c>
      <c r="AV4" s="132">
        <v>2013</v>
      </c>
      <c r="AW4" s="132">
        <v>2014</v>
      </c>
      <c r="AX4" s="250">
        <v>2015</v>
      </c>
      <c r="AZ4" s="246"/>
      <c r="BA4" s="247">
        <v>2009</v>
      </c>
      <c r="BB4" s="247">
        <v>2010</v>
      </c>
      <c r="BC4" s="247">
        <v>2011</v>
      </c>
      <c r="BD4" s="247">
        <v>2012</v>
      </c>
      <c r="BE4" s="247">
        <v>2013</v>
      </c>
      <c r="BF4" s="247">
        <v>2014</v>
      </c>
      <c r="BG4" s="248">
        <v>2015</v>
      </c>
      <c r="BI4" s="249">
        <v>2009</v>
      </c>
      <c r="BJ4" s="132">
        <v>2010</v>
      </c>
      <c r="BK4" s="132">
        <v>2011</v>
      </c>
      <c r="BL4" s="132">
        <v>2012</v>
      </c>
      <c r="BM4" s="132">
        <v>2013</v>
      </c>
      <c r="BN4" s="132">
        <v>2014</v>
      </c>
      <c r="BO4" s="250">
        <v>2015</v>
      </c>
    </row>
    <row r="5" spans="2:67" hidden="1" outlineLevel="1">
      <c r="B5" s="209" t="s">
        <v>324</v>
      </c>
      <c r="C5" s="220"/>
      <c r="D5" s="220"/>
      <c r="E5" s="220"/>
      <c r="F5" s="220"/>
      <c r="G5" s="220"/>
      <c r="H5" s="220"/>
      <c r="I5" s="221"/>
      <c r="J5" s="207"/>
      <c r="K5" s="219"/>
      <c r="L5" s="220"/>
      <c r="M5" s="220"/>
      <c r="N5" s="220"/>
      <c r="O5" s="220"/>
      <c r="P5" s="220"/>
      <c r="Q5" s="221"/>
      <c r="S5" s="212" t="s">
        <v>699</v>
      </c>
      <c r="T5" s="125"/>
      <c r="U5" s="125"/>
      <c r="V5" s="125"/>
      <c r="W5" s="125"/>
      <c r="X5" s="125"/>
      <c r="Y5" s="251"/>
      <c r="AA5" s="212"/>
      <c r="AB5" s="125"/>
      <c r="AC5" s="125"/>
      <c r="AD5" s="125"/>
      <c r="AE5" s="125"/>
      <c r="AF5" s="125"/>
      <c r="AG5" s="125"/>
      <c r="AH5" s="251"/>
      <c r="AJ5" s="212"/>
      <c r="AK5" s="125"/>
      <c r="AL5" s="125"/>
      <c r="AM5" s="125"/>
      <c r="AN5" s="125"/>
      <c r="AO5" s="125"/>
      <c r="AP5" s="251"/>
      <c r="AR5" s="212" t="s">
        <v>699</v>
      </c>
      <c r="AS5" s="125"/>
      <c r="AT5" s="125"/>
      <c r="AU5" s="125"/>
      <c r="AV5" s="125"/>
      <c r="AW5" s="125"/>
      <c r="AX5" s="251"/>
      <c r="AZ5" s="212"/>
      <c r="BA5" s="125"/>
      <c r="BB5" s="125"/>
      <c r="BC5" s="125"/>
      <c r="BD5" s="125"/>
      <c r="BE5" s="125"/>
      <c r="BF5" s="125"/>
      <c r="BG5" s="251"/>
      <c r="BI5" s="212"/>
      <c r="BJ5" s="125"/>
      <c r="BK5" s="125"/>
      <c r="BL5" s="125"/>
      <c r="BM5" s="125"/>
      <c r="BN5" s="125"/>
      <c r="BO5" s="251"/>
    </row>
    <row r="6" spans="2:67" hidden="1" outlineLevel="1">
      <c r="B6" s="212" t="s">
        <v>325</v>
      </c>
      <c r="C6" s="252">
        <v>2153310</v>
      </c>
      <c r="D6" s="252">
        <v>2024763</v>
      </c>
      <c r="E6" s="252">
        <v>1955952</v>
      </c>
      <c r="F6" s="252">
        <v>1885181</v>
      </c>
      <c r="G6" s="252">
        <v>1642975</v>
      </c>
      <c r="H6" s="252">
        <v>1457363</v>
      </c>
      <c r="I6" s="253">
        <v>1362294</v>
      </c>
      <c r="K6" s="254">
        <f>C6/K$3</f>
        <v>631469.20821114362</v>
      </c>
      <c r="L6" s="252">
        <f t="shared" ref="L6:Q6" si="0">D6/L$3</f>
        <v>677178.26086956519</v>
      </c>
      <c r="M6" s="252">
        <f t="shared" si="0"/>
        <v>699553.6480686696</v>
      </c>
      <c r="N6" s="252">
        <f t="shared" si="0"/>
        <v>738996.86397491174</v>
      </c>
      <c r="O6" s="252">
        <f t="shared" si="0"/>
        <v>609186.13274008152</v>
      </c>
      <c r="P6" s="252">
        <f t="shared" si="0"/>
        <v>518819.1527233891</v>
      </c>
      <c r="Q6" s="253">
        <f t="shared" si="0"/>
        <v>471218.95537876169</v>
      </c>
      <c r="S6" s="255">
        <f t="shared" ref="S6:X11" si="1">+K6/L6-1</f>
        <v>-6.7499291249731641E-2</v>
      </c>
      <c r="T6" s="144">
        <f t="shared" si="1"/>
        <v>-3.1985234100170068E-2</v>
      </c>
      <c r="U6" s="144">
        <f t="shared" si="1"/>
        <v>-5.3373996330762785E-2</v>
      </c>
      <c r="V6" s="144">
        <f t="shared" si="1"/>
        <v>0.21308878232495143</v>
      </c>
      <c r="W6" s="144">
        <f t="shared" si="1"/>
        <v>0.17417818818433628</v>
      </c>
      <c r="X6" s="144">
        <f t="shared" si="1"/>
        <v>0.10101503091353092</v>
      </c>
      <c r="Y6" s="256"/>
      <c r="AA6" s="212" t="s">
        <v>325</v>
      </c>
      <c r="AB6" s="144">
        <f t="shared" ref="AB6:AH11" si="2">+K6/K$11</f>
        <v>0.87946022883912045</v>
      </c>
      <c r="AC6" s="144">
        <f t="shared" si="2"/>
        <v>0.90844495054116015</v>
      </c>
      <c r="AD6" s="144">
        <f t="shared" si="2"/>
        <v>0.92435770685610463</v>
      </c>
      <c r="AE6" s="144">
        <f t="shared" si="2"/>
        <v>0.9191283696715784</v>
      </c>
      <c r="AF6" s="144">
        <f t="shared" si="2"/>
        <v>0.92938332809144852</v>
      </c>
      <c r="AG6" s="144">
        <f t="shared" si="2"/>
        <v>0.94754003285981137</v>
      </c>
      <c r="AH6" s="257">
        <f t="shared" si="2"/>
        <v>0.95346659387729416</v>
      </c>
      <c r="AJ6" s="255">
        <f t="shared" ref="AJ6:AO12" si="3">+S6*AB6</f>
        <v>-5.9362942128967429E-2</v>
      </c>
      <c r="AK6" s="144">
        <f t="shared" si="3"/>
        <v>-2.9056824410176426E-2</v>
      </c>
      <c r="AL6" s="144">
        <f t="shared" si="3"/>
        <v>-4.9336664854050027E-2</v>
      </c>
      <c r="AM6" s="144">
        <f t="shared" si="3"/>
        <v>0.19585594509363446</v>
      </c>
      <c r="AN6" s="144">
        <f t="shared" si="3"/>
        <v>0.16187830421569707</v>
      </c>
      <c r="AO6" s="144">
        <f t="shared" si="3"/>
        <v>9.5715785711141949E-2</v>
      </c>
      <c r="AP6" s="256"/>
      <c r="AR6" s="255">
        <f>+PU!G6/PU!F6-1</f>
        <v>0.11719500480307388</v>
      </c>
      <c r="AS6" s="144">
        <f>+PU!H6/PU!G6-1</f>
        <v>6.3628546861564939E-2</v>
      </c>
      <c r="AT6" s="144">
        <f>+PU!I6/PU!H6-1</f>
        <v>0.16248989490703325</v>
      </c>
      <c r="AU6" s="144">
        <f>+PU!J6/PU!I6-1</f>
        <v>0.1196105702364394</v>
      </c>
      <c r="AV6" s="144">
        <f>+PU!K6/PU!J6-1</f>
        <v>2.2360248447204967E-2</v>
      </c>
      <c r="AW6" s="144">
        <f>+PU!L6/PU!K6-1</f>
        <v>4.8602673147023046E-2</v>
      </c>
      <c r="AX6" s="256">
        <f>+PU!M6/PU!L6-1</f>
        <v>0.10370799536500575</v>
      </c>
      <c r="AZ6" s="212" t="s">
        <v>325</v>
      </c>
      <c r="BA6" s="144">
        <f>+PU!G16</f>
        <v>0.81385584324702587</v>
      </c>
      <c r="BB6" s="144">
        <f>+PU!H16</f>
        <v>0.80429128738621591</v>
      </c>
      <c r="BC6" s="144">
        <f>+PU!I16</f>
        <v>0.81339996590798957</v>
      </c>
      <c r="BD6" s="144">
        <f>+PU!J16</f>
        <v>0.7865168539325843</v>
      </c>
      <c r="BE6" s="144">
        <f>+PU!K16</f>
        <v>0.77825059101654848</v>
      </c>
      <c r="BF6" s="144">
        <f>+PU!L16</f>
        <v>0.77433826828174068</v>
      </c>
      <c r="BG6" s="257">
        <f>+PU!M16</f>
        <v>0.77818627450980393</v>
      </c>
      <c r="BI6" s="255">
        <f>+AR6*BA6</f>
        <v>9.5379839458344939E-2</v>
      </c>
      <c r="BJ6" s="144">
        <f t="shared" ref="BJ6:BJ11" si="4">+AS6*BB6</f>
        <v>5.1175885869802235E-2</v>
      </c>
      <c r="BK6" s="144">
        <f t="shared" ref="BK6:BK11" si="5">+AT6*BC6</f>
        <v>0.13216927497777364</v>
      </c>
      <c r="BL6" s="144">
        <f t="shared" ref="BL6:BL11" si="6">+AU6*BD6</f>
        <v>9.4075729399446723E-2</v>
      </c>
      <c r="BM6" s="144">
        <f t="shared" ref="BM6:BM11" si="7">+AV6*BE6</f>
        <v>1.7401876569314127E-2</v>
      </c>
      <c r="BN6" s="144">
        <f t="shared" ref="BN6:BO11" si="8">+AW6*BF6</f>
        <v>3.7634909758529282E-2</v>
      </c>
      <c r="BO6" s="256">
        <f t="shared" si="8"/>
        <v>8.0704138549973839E-2</v>
      </c>
    </row>
    <row r="7" spans="2:67" hidden="1" outlineLevel="1">
      <c r="B7" s="212" t="s">
        <v>327</v>
      </c>
      <c r="C7" s="252">
        <v>416027</v>
      </c>
      <c r="D7" s="252">
        <v>358433</v>
      </c>
      <c r="E7" s="252">
        <v>318613</v>
      </c>
      <c r="F7" s="252">
        <v>289170</v>
      </c>
      <c r="G7" s="252">
        <v>197861</v>
      </c>
      <c r="H7" s="252">
        <v>196947</v>
      </c>
      <c r="I7" s="253">
        <v>155753</v>
      </c>
      <c r="K7" s="254">
        <f t="shared" ref="K7:K10" si="9">C7/K$3</f>
        <v>122002.05278592375</v>
      </c>
      <c r="L7" s="252">
        <f t="shared" ref="L7:L10" si="10">D7/L$3</f>
        <v>119877.25752508361</v>
      </c>
      <c r="M7" s="252">
        <f t="shared" ref="M7:M10" si="11">E7/M$3</f>
        <v>113953.14735336196</v>
      </c>
      <c r="N7" s="252">
        <f t="shared" ref="N7:N10" si="12">F7/N$3</f>
        <v>113355.54684437475</v>
      </c>
      <c r="O7" s="252">
        <f t="shared" ref="O7:O10" si="13">G7/O$3</f>
        <v>73363.366703744905</v>
      </c>
      <c r="P7" s="252">
        <f t="shared" ref="P7:P10" si="14">H7/P$3</f>
        <v>70112.851548593797</v>
      </c>
      <c r="Q7" s="253">
        <f t="shared" ref="Q7:Q10" si="15">I7/Q$3</f>
        <v>53875.129712902111</v>
      </c>
      <c r="S7" s="255">
        <f t="shared" si="1"/>
        <v>1.7724757011525316E-2</v>
      </c>
      <c r="T7" s="144">
        <f t="shared" si="1"/>
        <v>5.1987244839770241E-2</v>
      </c>
      <c r="U7" s="144">
        <f t="shared" si="1"/>
        <v>5.2719123644442423E-3</v>
      </c>
      <c r="V7" s="144">
        <f t="shared" si="1"/>
        <v>0.54512465740736515</v>
      </c>
      <c r="W7" s="144">
        <f t="shared" si="1"/>
        <v>4.6361188902696915E-2</v>
      </c>
      <c r="X7" s="144">
        <f t="shared" si="1"/>
        <v>0.30139550330962916</v>
      </c>
      <c r="Y7" s="256"/>
      <c r="AA7" s="212" t="s">
        <v>327</v>
      </c>
      <c r="AB7" s="144">
        <f t="shared" si="2"/>
        <v>0.16991478264776219</v>
      </c>
      <c r="AC7" s="144">
        <f t="shared" si="2"/>
        <v>0.16081716672880711</v>
      </c>
      <c r="AD7" s="144">
        <f t="shared" si="2"/>
        <v>0.15057239751003298</v>
      </c>
      <c r="AE7" s="144">
        <f t="shared" si="2"/>
        <v>0.14098611786238582</v>
      </c>
      <c r="AF7" s="144">
        <f t="shared" si="2"/>
        <v>0.11192423176220095</v>
      </c>
      <c r="AG7" s="144">
        <f t="shared" si="2"/>
        <v>0.12804988657708563</v>
      </c>
      <c r="AH7" s="257">
        <f t="shared" si="2"/>
        <v>0.10901118436708243</v>
      </c>
      <c r="AJ7" s="255">
        <f t="shared" si="3"/>
        <v>3.0116982350977231E-3</v>
      </c>
      <c r="AK7" s="144">
        <f t="shared" si="3"/>
        <v>8.3604414211686483E-3</v>
      </c>
      <c r="AL7" s="144">
        <f t="shared" si="3"/>
        <v>7.9380448417715633E-4</v>
      </c>
      <c r="AM7" s="144">
        <f t="shared" si="3"/>
        <v>7.6855009198927474E-2</v>
      </c>
      <c r="AN7" s="144">
        <f t="shared" si="3"/>
        <v>5.1889404515166283E-3</v>
      </c>
      <c r="AO7" s="144">
        <f t="shared" si="3"/>
        <v>3.8593660013641652E-2</v>
      </c>
      <c r="AP7" s="256"/>
      <c r="AR7" s="255">
        <f>+PU!G7/PU!F7-1</f>
        <v>0.23300970873786397</v>
      </c>
      <c r="AS7" s="144">
        <f>+PU!H7/PU!G7-1</f>
        <v>0.27559055118110232</v>
      </c>
      <c r="AT7" s="144">
        <f>+PU!I7/PU!H7-1</f>
        <v>6.7209581112465555E-2</v>
      </c>
      <c r="AU7" s="144">
        <f>+PU!J7/PU!I7-1</f>
        <v>0.46337553813354404</v>
      </c>
      <c r="AV7" s="144">
        <f>+PU!K7/PU!J7-1</f>
        <v>9.8814229249011953E-2</v>
      </c>
      <c r="AW7" s="144">
        <f>+PU!L7/PU!K7-1</f>
        <v>0.11151079136690645</v>
      </c>
      <c r="AX7" s="256">
        <f>+PU!M7/PU!L7-1</f>
        <v>4.2071197411003292E-2</v>
      </c>
      <c r="AZ7" s="212" t="s">
        <v>327</v>
      </c>
      <c r="BA7" s="144">
        <f>+PU!G17</f>
        <v>8.8873337998600421E-2</v>
      </c>
      <c r="BB7" s="144">
        <f>+PU!H17</f>
        <v>0.10533159947984395</v>
      </c>
      <c r="BC7" s="144">
        <f>+PU!I17</f>
        <v>9.7793500957410726E-2</v>
      </c>
      <c r="BD7" s="144">
        <f>+PU!J17</f>
        <v>0.12359550561797752</v>
      </c>
      <c r="BE7" s="144">
        <f>+PU!K17</f>
        <v>0.13144208037825059</v>
      </c>
      <c r="BF7" s="144">
        <f>+PU!L17</f>
        <v>0.1386271870794078</v>
      </c>
      <c r="BG7" s="257">
        <f>+PU!M17</f>
        <v>0.13153594771241831</v>
      </c>
      <c r="BI7" s="255">
        <f t="shared" ref="BI7:BI9" si="16">+AR7*BA7</f>
        <v>2.0708350601615622E-2</v>
      </c>
      <c r="BJ7" s="144">
        <f t="shared" si="4"/>
        <v>2.9028393557437304E-2</v>
      </c>
      <c r="BK7" s="144">
        <f t="shared" si="5"/>
        <v>6.572660234869074E-3</v>
      </c>
      <c r="BL7" s="144">
        <f t="shared" si="6"/>
        <v>5.7271133926617798E-2</v>
      </c>
      <c r="BM7" s="144">
        <f t="shared" si="7"/>
        <v>1.298834786346351E-2</v>
      </c>
      <c r="BN7" s="144">
        <f t="shared" si="8"/>
        <v>1.5458427336192952E-2</v>
      </c>
      <c r="BO7" s="256">
        <f t="shared" si="8"/>
        <v>5.5338748228525572E-3</v>
      </c>
    </row>
    <row r="8" spans="2:67" hidden="1" outlineLevel="1">
      <c r="B8" s="212" t="s">
        <v>328</v>
      </c>
      <c r="C8" s="252">
        <v>230479</v>
      </c>
      <c r="D8" s="252">
        <v>220059</v>
      </c>
      <c r="E8" s="252">
        <v>216524</v>
      </c>
      <c r="F8" s="252">
        <v>212410</v>
      </c>
      <c r="G8" s="252">
        <v>237555</v>
      </c>
      <c r="H8" s="252">
        <v>180010</v>
      </c>
      <c r="I8" s="253">
        <v>177311</v>
      </c>
      <c r="K8" s="254">
        <f t="shared" si="9"/>
        <v>67589.149560117294</v>
      </c>
      <c r="L8" s="252">
        <f t="shared" si="10"/>
        <v>73598.327759197316</v>
      </c>
      <c r="M8" s="252">
        <f t="shared" si="11"/>
        <v>77440.6294706724</v>
      </c>
      <c r="N8" s="252">
        <f t="shared" si="12"/>
        <v>83265.386123088974</v>
      </c>
      <c r="O8" s="252">
        <f t="shared" si="13"/>
        <v>88081.201334816462</v>
      </c>
      <c r="P8" s="252">
        <f t="shared" si="14"/>
        <v>64083.30366678533</v>
      </c>
      <c r="Q8" s="253">
        <f t="shared" si="15"/>
        <v>61332.065029401594</v>
      </c>
      <c r="S8" s="255">
        <f t="shared" si="1"/>
        <v>-8.1648298025753463E-2</v>
      </c>
      <c r="T8" s="144">
        <f t="shared" si="1"/>
        <v>-4.96160960691856E-2</v>
      </c>
      <c r="U8" s="144">
        <f t="shared" si="1"/>
        <v>-6.9954118075018501E-2</v>
      </c>
      <c r="V8" s="144">
        <f t="shared" si="1"/>
        <v>-5.4674722173934653E-2</v>
      </c>
      <c r="W8" s="144">
        <f t="shared" si="1"/>
        <v>0.37447972084606107</v>
      </c>
      <c r="X8" s="144">
        <f t="shared" si="1"/>
        <v>4.4858079310795107E-2</v>
      </c>
      <c r="Y8" s="256"/>
      <c r="AA8" s="212" t="s">
        <v>328</v>
      </c>
      <c r="AB8" s="144">
        <f t="shared" si="2"/>
        <v>9.4132806740604758E-2</v>
      </c>
      <c r="AC8" s="144">
        <f t="shared" si="2"/>
        <v>9.8733277608854544E-2</v>
      </c>
      <c r="AD8" s="144">
        <f t="shared" si="2"/>
        <v>0.1023264518348667</v>
      </c>
      <c r="AE8" s="144">
        <f t="shared" si="2"/>
        <v>0.10356143892917442</v>
      </c>
      <c r="AF8" s="144">
        <f t="shared" si="2"/>
        <v>0.13437797684369152</v>
      </c>
      <c r="AG8" s="144">
        <f t="shared" si="2"/>
        <v>0.11703788370851644</v>
      </c>
      <c r="AH8" s="257">
        <f t="shared" si="2"/>
        <v>0.12409958146110671</v>
      </c>
      <c r="AJ8" s="255">
        <f t="shared" si="3"/>
        <v>-7.6857834587575518E-3</v>
      </c>
      <c r="AK8" s="144">
        <f t="shared" si="3"/>
        <v>-4.8987597870664987E-3</v>
      </c>
      <c r="AL8" s="144">
        <f t="shared" si="3"/>
        <v>-7.1581566938539593E-3</v>
      </c>
      <c r="AM8" s="144">
        <f t="shared" si="3"/>
        <v>-5.6621929013855122E-3</v>
      </c>
      <c r="AN8" s="144">
        <f t="shared" si="3"/>
        <v>5.0321827256284056E-2</v>
      </c>
      <c r="AO8" s="144">
        <f t="shared" si="3"/>
        <v>5.2500946697642452E-3</v>
      </c>
      <c r="AP8" s="256"/>
      <c r="AR8" s="255">
        <f>+PU!G8/PU!F8-1</f>
        <v>0.12000000000000011</v>
      </c>
      <c r="AS8" s="144">
        <f>+PU!H8/PU!G8-1</f>
        <v>-3.5714285714285698E-2</v>
      </c>
      <c r="AT8" s="144">
        <f>+PU!I8/PU!H8-1</f>
        <v>0.12037037037037046</v>
      </c>
      <c r="AU8" s="144">
        <f>+PU!J8/PU!I8-1</f>
        <v>0.14049586776859502</v>
      </c>
      <c r="AV8" s="144">
        <f>+PU!K8/PU!J8-1</f>
        <v>-7.2463768115942351E-3</v>
      </c>
      <c r="AW8" s="144">
        <f>+PU!L8/PU!K8-1</f>
        <v>1.4598540145985384E-2</v>
      </c>
      <c r="AX8" s="256">
        <f>+PU!M8/PU!L8-1</f>
        <v>0.13669064748201443</v>
      </c>
      <c r="AZ8" s="212" t="s">
        <v>328</v>
      </c>
      <c r="BA8" s="144">
        <f>+PU!G18</f>
        <v>7.8376487053883837E-2</v>
      </c>
      <c r="BB8" s="144">
        <f>+PU!H18</f>
        <v>7.0221066319895969E-2</v>
      </c>
      <c r="BC8" s="144">
        <f>+PU!I18</f>
        <v>6.8443251651506776E-2</v>
      </c>
      <c r="BD8" s="144">
        <f>+PU!J18</f>
        <v>6.741573033707865E-2</v>
      </c>
      <c r="BE8" s="144">
        <f>+PU!K18</f>
        <v>6.4775413711583921E-2</v>
      </c>
      <c r="BF8" s="144">
        <f>+PU!L18</f>
        <v>6.2359802602063703E-2</v>
      </c>
      <c r="BG8" s="257">
        <f>+PU!M18</f>
        <v>6.4542483660130726E-2</v>
      </c>
      <c r="BI8" s="255">
        <f t="shared" si="16"/>
        <v>9.4051784464660691E-3</v>
      </c>
      <c r="BJ8" s="144">
        <f t="shared" si="4"/>
        <v>-2.5078952257105692E-3</v>
      </c>
      <c r="BK8" s="144">
        <f t="shared" si="5"/>
        <v>8.2385395506443405E-3</v>
      </c>
      <c r="BL8" s="144">
        <f t="shared" si="6"/>
        <v>9.4716315349614617E-3</v>
      </c>
      <c r="BM8" s="144">
        <f t="shared" si="7"/>
        <v>-4.69387055881045E-4</v>
      </c>
      <c r="BN8" s="144">
        <f t="shared" si="8"/>
        <v>9.1036208178195074E-4</v>
      </c>
      <c r="BO8" s="256">
        <f t="shared" si="8"/>
        <v>8.8223538816006048E-3</v>
      </c>
    </row>
    <row r="9" spans="2:67" hidden="1" outlineLevel="1">
      <c r="B9" s="212" t="s">
        <v>329</v>
      </c>
      <c r="C9" s="252">
        <v>41843</v>
      </c>
      <c r="D9" s="252">
        <v>39646</v>
      </c>
      <c r="E9" s="252">
        <v>28576</v>
      </c>
      <c r="F9" s="252">
        <v>24139</v>
      </c>
      <c r="G9" s="252">
        <v>6322</v>
      </c>
      <c r="H9" s="252">
        <v>31218</v>
      </c>
      <c r="I9" s="253">
        <v>3904</v>
      </c>
      <c r="K9" s="254">
        <f t="shared" si="9"/>
        <v>12270.674486803518</v>
      </c>
      <c r="L9" s="252">
        <f t="shared" si="10"/>
        <v>13259.53177257525</v>
      </c>
      <c r="M9" s="252">
        <f t="shared" si="11"/>
        <v>10220.314735336195</v>
      </c>
      <c r="N9" s="252">
        <f t="shared" si="12"/>
        <v>9462.5637005096032</v>
      </c>
      <c r="O9" s="252">
        <f t="shared" si="13"/>
        <v>2344.0860215053763</v>
      </c>
      <c r="P9" s="252">
        <f t="shared" si="14"/>
        <v>11113.563545745816</v>
      </c>
      <c r="Q9" s="253">
        <f t="shared" si="15"/>
        <v>1350.3977862331374</v>
      </c>
      <c r="S9" s="255">
        <f t="shared" si="1"/>
        <v>-7.4577089352203974E-2</v>
      </c>
      <c r="T9" s="144">
        <f t="shared" si="1"/>
        <v>0.29737020003220893</v>
      </c>
      <c r="U9" s="144">
        <f t="shared" si="1"/>
        <v>8.0078830516700616E-2</v>
      </c>
      <c r="V9" s="144">
        <f t="shared" si="1"/>
        <v>3.0367817621440052</v>
      </c>
      <c r="W9" s="144">
        <f t="shared" si="1"/>
        <v>-0.78907881240282518</v>
      </c>
      <c r="X9" s="144">
        <f t="shared" si="1"/>
        <v>7.2298443162784718</v>
      </c>
      <c r="Y9" s="256"/>
      <c r="AA9" s="212" t="s">
        <v>329</v>
      </c>
      <c r="AB9" s="144">
        <f t="shared" si="2"/>
        <v>1.7089622188776962E-2</v>
      </c>
      <c r="AC9" s="144">
        <f t="shared" si="2"/>
        <v>1.7787863818706107E-2</v>
      </c>
      <c r="AD9" s="144">
        <f t="shared" si="2"/>
        <v>1.3504649312007679E-2</v>
      </c>
      <c r="AE9" s="144">
        <f t="shared" si="2"/>
        <v>1.1769076664523053E-2</v>
      </c>
      <c r="AF9" s="144">
        <f t="shared" si="2"/>
        <v>3.5761721269003716E-3</v>
      </c>
      <c r="AG9" s="144">
        <f t="shared" si="2"/>
        <v>2.0297142678809322E-2</v>
      </c>
      <c r="AH9" s="257">
        <f t="shared" si="2"/>
        <v>2.7324010694438619E-3</v>
      </c>
      <c r="AJ9" s="255">
        <f t="shared" si="3"/>
        <v>-1.2744942809678271E-3</v>
      </c>
      <c r="AK9" s="144">
        <f t="shared" si="3"/>
        <v>5.2895806219143268E-3</v>
      </c>
      <c r="AL9" s="144">
        <f t="shared" si="3"/>
        <v>1.0814365234437405E-3</v>
      </c>
      <c r="AM9" s="144">
        <f t="shared" si="3"/>
        <v>3.5740117372098208E-2</v>
      </c>
      <c r="AN9" s="144">
        <f t="shared" si="3"/>
        <v>-2.8218816548426307E-3</v>
      </c>
      <c r="AO9" s="144">
        <f t="shared" si="3"/>
        <v>0.14674518163308278</v>
      </c>
      <c r="AP9" s="256"/>
      <c r="AR9" s="255">
        <f>+PU!G9/PU!F9-1</f>
        <v>0.8</v>
      </c>
      <c r="AS9" s="144">
        <f>+PU!H9/PU!G9-1</f>
        <v>0.14814814814814814</v>
      </c>
      <c r="AT9" s="144">
        <f>+PU!I9/PU!H9-1</f>
        <v>0.16129032258064524</v>
      </c>
      <c r="AU9" s="144">
        <f>+PU!J9/PU!I9-1</f>
        <v>0.27777777777777768</v>
      </c>
      <c r="AV9" s="144">
        <f>+PU!K9/PU!J9-1</f>
        <v>0.17391304347826098</v>
      </c>
      <c r="AW9" s="144">
        <f>+PU!L9/PU!K9-1</f>
        <v>1.8518518518518601E-2</v>
      </c>
      <c r="AX9" s="256">
        <f>+PU!M9/PU!L9-1</f>
        <v>0.1454545454545455</v>
      </c>
      <c r="AZ9" s="212" t="s">
        <v>329</v>
      </c>
      <c r="BA9" s="144">
        <f>+PU!G19</f>
        <v>1.8894331700489854E-2</v>
      </c>
      <c r="BB9" s="144">
        <f>+PU!H19</f>
        <v>2.0156046814044214E-2</v>
      </c>
      <c r="BC9" s="144">
        <f>+PU!I19</f>
        <v>2.0363281483092924E-2</v>
      </c>
      <c r="BD9" s="144">
        <f>+PU!J19</f>
        <v>2.247191011235955E-2</v>
      </c>
      <c r="BE9" s="144">
        <f>+PU!K19</f>
        <v>2.553191489361702E-2</v>
      </c>
      <c r="BF9" s="144">
        <f>+PU!L19</f>
        <v>2.4674742036787798E-2</v>
      </c>
      <c r="BG9" s="257">
        <f>+PU!M19</f>
        <v>2.5735294117647058E-2</v>
      </c>
      <c r="BI9" s="255">
        <f t="shared" si="16"/>
        <v>1.5115465360391885E-2</v>
      </c>
      <c r="BJ9" s="144">
        <f t="shared" si="4"/>
        <v>2.9860810094880317E-3</v>
      </c>
      <c r="BK9" s="144">
        <f t="shared" si="5"/>
        <v>3.2844002392085378E-3</v>
      </c>
      <c r="BL9" s="144">
        <f t="shared" si="6"/>
        <v>6.2421972534332064E-3</v>
      </c>
      <c r="BM9" s="144">
        <f t="shared" si="7"/>
        <v>4.4403330249768759E-3</v>
      </c>
      <c r="BN9" s="144">
        <f t="shared" si="8"/>
        <v>4.5693966734792422E-4</v>
      </c>
      <c r="BO9" s="256">
        <f t="shared" si="8"/>
        <v>3.7433155080213915E-3</v>
      </c>
    </row>
    <row r="10" spans="2:67" hidden="1" outlineLevel="1">
      <c r="B10" s="212" t="s">
        <v>330</v>
      </c>
      <c r="C10" s="252">
        <v>-393214</v>
      </c>
      <c r="D10" s="252">
        <v>-414078</v>
      </c>
      <c r="E10" s="252">
        <v>-403653</v>
      </c>
      <c r="F10" s="252">
        <v>-359847</v>
      </c>
      <c r="G10" s="252">
        <v>-316901</v>
      </c>
      <c r="H10" s="252">
        <v>-327489</v>
      </c>
      <c r="I10" s="253">
        <v>-270482</v>
      </c>
      <c r="K10" s="254">
        <f t="shared" si="9"/>
        <v>-115312.02346041055</v>
      </c>
      <c r="L10" s="252">
        <f t="shared" si="10"/>
        <v>-138487.6254180602</v>
      </c>
      <c r="M10" s="252">
        <f t="shared" si="11"/>
        <v>-144368.02575107297</v>
      </c>
      <c r="N10" s="252">
        <f t="shared" si="12"/>
        <v>-141061.15248921991</v>
      </c>
      <c r="O10" s="252">
        <f t="shared" si="13"/>
        <v>-117501.29773822766</v>
      </c>
      <c r="P10" s="252">
        <f t="shared" si="14"/>
        <v>-116585.61765752936</v>
      </c>
      <c r="Q10" s="253">
        <f t="shared" si="15"/>
        <v>-93560.013836042897</v>
      </c>
      <c r="S10" s="255">
        <f t="shared" si="1"/>
        <v>-0.16734781817283806</v>
      </c>
      <c r="T10" s="144">
        <f t="shared" si="1"/>
        <v>-4.0732013217054552E-2</v>
      </c>
      <c r="U10" s="144">
        <f t="shared" si="1"/>
        <v>2.3442834568544901E-2</v>
      </c>
      <c r="V10" s="144">
        <f t="shared" si="1"/>
        <v>0.20050718761829756</v>
      </c>
      <c r="W10" s="144">
        <f t="shared" si="1"/>
        <v>7.8541427244320783E-3</v>
      </c>
      <c r="X10" s="144">
        <f t="shared" si="1"/>
        <v>0.24610517760116157</v>
      </c>
      <c r="Y10" s="256"/>
      <c r="AA10" s="212" t="s">
        <v>330</v>
      </c>
      <c r="AB10" s="144">
        <f t="shared" si="2"/>
        <v>-0.16059744041626423</v>
      </c>
      <c r="AC10" s="144">
        <f t="shared" si="2"/>
        <v>-0.18578325869752782</v>
      </c>
      <c r="AD10" s="144">
        <f t="shared" si="2"/>
        <v>-0.19076120551301218</v>
      </c>
      <c r="AE10" s="144">
        <f t="shared" si="2"/>
        <v>-0.17544500312766176</v>
      </c>
      <c r="AF10" s="144">
        <f t="shared" si="2"/>
        <v>-0.17926170882424147</v>
      </c>
      <c r="AG10" s="144">
        <f t="shared" si="2"/>
        <v>-0.21292494582422278</v>
      </c>
      <c r="AH10" s="257">
        <f t="shared" si="2"/>
        <v>-0.18930976077492689</v>
      </c>
      <c r="AJ10" s="255">
        <f t="shared" si="3"/>
        <v>2.6875631257804181E-2</v>
      </c>
      <c r="AK10" s="144">
        <f t="shared" si="3"/>
        <v>7.5673261487751685E-3</v>
      </c>
      <c r="AL10" s="144">
        <f t="shared" si="3"/>
        <v>-4.4719833829377402E-3</v>
      </c>
      <c r="AM10" s="144">
        <f t="shared" si="3"/>
        <v>-3.5177984158810877E-2</v>
      </c>
      <c r="AN10" s="144">
        <f t="shared" si="3"/>
        <v>-1.4079470461311778E-3</v>
      </c>
      <c r="AO10" s="144">
        <f t="shared" si="3"/>
        <v>-5.2401931607788055E-2</v>
      </c>
      <c r="AP10" s="256"/>
      <c r="AR10" s="255"/>
      <c r="AS10" s="144"/>
      <c r="AT10" s="144"/>
      <c r="AU10" s="144"/>
      <c r="AV10" s="144"/>
      <c r="AW10" s="144"/>
      <c r="AX10" s="256"/>
      <c r="AZ10" s="212"/>
      <c r="BA10" s="144"/>
      <c r="BB10" s="144"/>
      <c r="BC10" s="144"/>
      <c r="BD10" s="144"/>
      <c r="BE10" s="144"/>
      <c r="BF10" s="144"/>
      <c r="BG10" s="257"/>
      <c r="BI10" s="255"/>
      <c r="BJ10" s="144"/>
      <c r="BK10" s="144"/>
      <c r="BL10" s="144"/>
      <c r="BM10" s="144"/>
      <c r="BN10" s="144"/>
      <c r="BO10" s="256"/>
    </row>
    <row r="11" spans="2:67" ht="15" collapsed="1">
      <c r="B11" s="258" t="s">
        <v>331</v>
      </c>
      <c r="C11" s="220">
        <f t="shared" ref="C11:I11" si="17">SUM(C6:C10)</f>
        <v>2448445</v>
      </c>
      <c r="D11" s="220">
        <f t="shared" si="17"/>
        <v>2228823</v>
      </c>
      <c r="E11" s="220">
        <f t="shared" si="17"/>
        <v>2116012</v>
      </c>
      <c r="F11" s="220">
        <f t="shared" si="17"/>
        <v>2051053</v>
      </c>
      <c r="G11" s="220">
        <f t="shared" si="17"/>
        <v>1767812</v>
      </c>
      <c r="H11" s="220">
        <f t="shared" si="17"/>
        <v>1538049</v>
      </c>
      <c r="I11" s="221">
        <f t="shared" si="17"/>
        <v>1428780</v>
      </c>
      <c r="J11" s="259"/>
      <c r="K11" s="219">
        <f t="shared" ref="K11:Q11" si="18">SUM(K6:K10)</f>
        <v>718019.06158357754</v>
      </c>
      <c r="L11" s="220">
        <f t="shared" si="18"/>
        <v>745425.75250836113</v>
      </c>
      <c r="M11" s="220">
        <f t="shared" si="18"/>
        <v>756799.71387696732</v>
      </c>
      <c r="N11" s="220">
        <f t="shared" si="18"/>
        <v>804019.20815366518</v>
      </c>
      <c r="O11" s="220">
        <f t="shared" si="18"/>
        <v>655473.48906192067</v>
      </c>
      <c r="P11" s="220">
        <f t="shared" si="18"/>
        <v>547543.25382698467</v>
      </c>
      <c r="Q11" s="221">
        <f t="shared" si="18"/>
        <v>494216.53407125553</v>
      </c>
      <c r="S11" s="255">
        <f t="shared" si="1"/>
        <v>-3.6766493285964374E-2</v>
      </c>
      <c r="T11" s="144">
        <f t="shared" si="1"/>
        <v>-1.5029024403747648E-2</v>
      </c>
      <c r="U11" s="144">
        <f t="shared" si="1"/>
        <v>-5.8729311187890487E-2</v>
      </c>
      <c r="V11" s="144">
        <f t="shared" si="1"/>
        <v>0.22662353485010556</v>
      </c>
      <c r="W11" s="144">
        <f t="shared" si="1"/>
        <v>0.19711727700153592</v>
      </c>
      <c r="X11" s="144">
        <f t="shared" si="1"/>
        <v>0.1079015291464136</v>
      </c>
      <c r="Y11" s="256"/>
      <c r="AA11" s="260" t="s">
        <v>783</v>
      </c>
      <c r="AB11" s="261">
        <f t="shared" si="2"/>
        <v>1</v>
      </c>
      <c r="AC11" s="261">
        <f t="shared" si="2"/>
        <v>1</v>
      </c>
      <c r="AD11" s="261">
        <f t="shared" si="2"/>
        <v>1</v>
      </c>
      <c r="AE11" s="261">
        <f t="shared" si="2"/>
        <v>1</v>
      </c>
      <c r="AF11" s="261">
        <f t="shared" si="2"/>
        <v>1</v>
      </c>
      <c r="AG11" s="261">
        <f t="shared" si="2"/>
        <v>1</v>
      </c>
      <c r="AH11" s="262">
        <f t="shared" si="2"/>
        <v>1</v>
      </c>
      <c r="AJ11" s="263">
        <f t="shared" si="3"/>
        <v>-3.6766493285964374E-2</v>
      </c>
      <c r="AK11" s="261">
        <f t="shared" si="3"/>
        <v>-1.5029024403747648E-2</v>
      </c>
      <c r="AL11" s="261">
        <f t="shared" si="3"/>
        <v>-5.8729311187890487E-2</v>
      </c>
      <c r="AM11" s="261">
        <f t="shared" si="3"/>
        <v>0.22662353485010556</v>
      </c>
      <c r="AN11" s="261">
        <f t="shared" si="3"/>
        <v>0.19711727700153592</v>
      </c>
      <c r="AO11" s="261">
        <f t="shared" si="3"/>
        <v>0.1079015291464136</v>
      </c>
      <c r="AP11" s="264"/>
      <c r="AR11" s="263">
        <f>+PU!G11/PU!F11-1</f>
        <v>0.13502779984114377</v>
      </c>
      <c r="AS11" s="261">
        <f>+PU!H11/PU!G11-1</f>
        <v>7.6277116864940542E-2</v>
      </c>
      <c r="AT11" s="261">
        <f>+PU!I11/PU!H11-1</f>
        <v>0.14947201049429082</v>
      </c>
      <c r="AU11" s="261">
        <f>+PU!J11/PU!I11-1</f>
        <v>0.1578788109969782</v>
      </c>
      <c r="AV11" s="261">
        <f>+PU!K11/PU!J11-1</f>
        <v>3.3219345383488141E-2</v>
      </c>
      <c r="AW11" s="261">
        <f>+PU!L11/PU!K11-1</f>
        <v>5.3900709219858234E-2</v>
      </c>
      <c r="AX11" s="264">
        <f>+PU!M11/PU!L11-1</f>
        <v>9.8250336473755029E-2</v>
      </c>
      <c r="AZ11" s="260" t="s">
        <v>783</v>
      </c>
      <c r="BA11" s="261">
        <f>+PU!G21</f>
        <v>0.99999999999999989</v>
      </c>
      <c r="BB11" s="261">
        <f>+PU!H21</f>
        <v>1</v>
      </c>
      <c r="BC11" s="261">
        <f>+PU!I21</f>
        <v>1</v>
      </c>
      <c r="BD11" s="261">
        <f>+PU!J21</f>
        <v>1</v>
      </c>
      <c r="BE11" s="261">
        <f>+PU!K21</f>
        <v>1</v>
      </c>
      <c r="BF11" s="261">
        <f>+PU!L21</f>
        <v>1</v>
      </c>
      <c r="BG11" s="262">
        <f>+PU!M21</f>
        <v>1</v>
      </c>
      <c r="BI11" s="263">
        <f>+AR11*BA11</f>
        <v>0.13502779984114374</v>
      </c>
      <c r="BJ11" s="261">
        <f t="shared" si="4"/>
        <v>7.6277116864940542E-2</v>
      </c>
      <c r="BK11" s="261">
        <f t="shared" si="5"/>
        <v>0.14947201049429082</v>
      </c>
      <c r="BL11" s="261">
        <f t="shared" si="6"/>
        <v>0.1578788109969782</v>
      </c>
      <c r="BM11" s="261">
        <f t="shared" si="7"/>
        <v>3.3219345383488141E-2</v>
      </c>
      <c r="BN11" s="261">
        <f t="shared" si="8"/>
        <v>5.3900709219858234E-2</v>
      </c>
      <c r="BO11" s="264">
        <f t="shared" si="8"/>
        <v>9.8250336473755029E-2</v>
      </c>
    </row>
    <row r="12" spans="2:67" hidden="1" outlineLevel="1">
      <c r="B12" s="209" t="s">
        <v>332</v>
      </c>
      <c r="C12" s="220"/>
      <c r="D12" s="220"/>
      <c r="E12" s="220"/>
      <c r="F12" s="220"/>
      <c r="G12" s="220"/>
      <c r="H12" s="220"/>
      <c r="I12" s="221"/>
      <c r="J12" s="207"/>
      <c r="K12" s="1494">
        <f t="shared" ref="K12:P12" si="19">+K11/L11</f>
        <v>0.96323350671403563</v>
      </c>
      <c r="L12" s="1494">
        <f t="shared" si="19"/>
        <v>0.98497097559625235</v>
      </c>
      <c r="M12" s="1494">
        <f t="shared" si="19"/>
        <v>0.94127068881210951</v>
      </c>
      <c r="N12" s="1494">
        <f t="shared" si="19"/>
        <v>1.2266235348501056</v>
      </c>
      <c r="O12" s="1494">
        <f t="shared" si="19"/>
        <v>1.1971172770015359</v>
      </c>
      <c r="P12" s="1494">
        <f t="shared" si="19"/>
        <v>1.1079015291464136</v>
      </c>
      <c r="Q12" s="1494"/>
      <c r="S12" s="265" t="s">
        <v>333</v>
      </c>
      <c r="T12" s="266"/>
      <c r="U12" s="266"/>
      <c r="V12" s="266" t="e">
        <f>+M12/M24-1</f>
        <v>#DIV/0!</v>
      </c>
      <c r="W12" s="266"/>
      <c r="X12" s="266"/>
      <c r="Y12" s="256"/>
      <c r="AB12" s="267"/>
      <c r="AC12" s="267"/>
      <c r="AD12" s="267"/>
      <c r="AE12" s="267">
        <f>+M12/N$11</f>
        <v>1.1707067185293074E-6</v>
      </c>
      <c r="AF12" s="267">
        <f>+M24/O$11</f>
        <v>0</v>
      </c>
      <c r="AG12" s="267"/>
      <c r="AH12" s="267"/>
      <c r="AJ12" s="267"/>
      <c r="AK12" s="267"/>
      <c r="AL12" s="267"/>
      <c r="AM12" s="267" t="e">
        <f t="shared" si="3"/>
        <v>#DIV/0!</v>
      </c>
      <c r="AN12" s="267"/>
      <c r="AO12" s="267"/>
      <c r="AP12" s="267"/>
    </row>
    <row r="13" spans="2:67" hidden="1" outlineLevel="1">
      <c r="B13" s="212" t="s">
        <v>1708</v>
      </c>
      <c r="C13" s="252">
        <v>69320</v>
      </c>
      <c r="D13" s="252">
        <v>62499</v>
      </c>
      <c r="E13" s="252">
        <v>63154</v>
      </c>
      <c r="F13" s="252">
        <v>49629</v>
      </c>
      <c r="G13" s="252">
        <v>48319</v>
      </c>
      <c r="H13" s="252">
        <v>32572</v>
      </c>
      <c r="I13" s="253">
        <v>29735</v>
      </c>
      <c r="K13" s="254">
        <f>C13/K$3</f>
        <v>20328.445747800586</v>
      </c>
      <c r="L13" s="252">
        <f t="shared" ref="L13:Q13" si="20">D13/L$3</f>
        <v>20902.67558528428</v>
      </c>
      <c r="M13" s="252">
        <f t="shared" si="20"/>
        <v>22587.267525035768</v>
      </c>
      <c r="N13" s="252">
        <f t="shared" si="20"/>
        <v>19454.723637789102</v>
      </c>
      <c r="O13" s="252">
        <f t="shared" si="20"/>
        <v>17915.832406377456</v>
      </c>
      <c r="P13" s="252">
        <f t="shared" si="20"/>
        <v>11595.585617657529</v>
      </c>
      <c r="Q13" s="253">
        <f t="shared" si="20"/>
        <v>10285.368384641992</v>
      </c>
      <c r="S13" s="255">
        <f>+K13/K$11</f>
        <v>2.8311846906914396E-2</v>
      </c>
      <c r="T13" s="144">
        <f t="shared" ref="T13:Y22" si="21">+L13/L$11</f>
        <v>2.8041257650338318E-2</v>
      </c>
      <c r="U13" s="144">
        <f t="shared" si="21"/>
        <v>2.9845766470133435E-2</v>
      </c>
      <c r="V13" s="144">
        <f t="shared" si="21"/>
        <v>2.4196839379577225E-2</v>
      </c>
      <c r="W13" s="144">
        <f t="shared" si="21"/>
        <v>2.7332657545033067E-2</v>
      </c>
      <c r="X13" s="144">
        <f t="shared" si="21"/>
        <v>2.117747874092438E-2</v>
      </c>
      <c r="Y13" s="257">
        <f t="shared" si="21"/>
        <v>2.0811461526617118E-2</v>
      </c>
      <c r="AA13" s="267"/>
      <c r="AB13" s="267"/>
      <c r="AC13" s="267"/>
      <c r="AD13" s="267"/>
      <c r="AE13" s="267"/>
      <c r="AF13" s="267"/>
      <c r="AG13" s="267"/>
      <c r="AI13" s="267"/>
      <c r="AJ13" s="267"/>
      <c r="AK13" s="267"/>
      <c r="AL13" s="267"/>
      <c r="AM13" s="267"/>
      <c r="AN13" s="267"/>
      <c r="AO13" s="267"/>
    </row>
    <row r="14" spans="2:67" hidden="1" outlineLevel="1">
      <c r="B14" s="212" t="s">
        <v>335</v>
      </c>
      <c r="C14" s="252">
        <v>1223462</v>
      </c>
      <c r="D14" s="252">
        <v>1225470</v>
      </c>
      <c r="E14" s="252">
        <v>1136097</v>
      </c>
      <c r="F14" s="252">
        <v>1141277</v>
      </c>
      <c r="G14" s="252">
        <v>1036438</v>
      </c>
      <c r="H14" s="252">
        <v>893024</v>
      </c>
      <c r="I14" s="253">
        <v>794782</v>
      </c>
      <c r="K14" s="254">
        <f t="shared" ref="K14:K21" si="22">C14/K$3</f>
        <v>358786.51026392961</v>
      </c>
      <c r="L14" s="252">
        <f t="shared" ref="L14:L21" si="23">D14/L$3</f>
        <v>409856.18729096989</v>
      </c>
      <c r="M14" s="252">
        <f t="shared" ref="M14:M21" si="24">E14/M$3</f>
        <v>406329.39914163091</v>
      </c>
      <c r="N14" s="252">
        <f t="shared" ref="N14:N21" si="25">F14/N$3</f>
        <v>447384.16307330457</v>
      </c>
      <c r="O14" s="252">
        <f t="shared" ref="O14:O21" si="26">G14/O$3</f>
        <v>384292.9180571005</v>
      </c>
      <c r="P14" s="252">
        <f t="shared" ref="P14:P21" si="27">H14/P$3</f>
        <v>317915.27233891061</v>
      </c>
      <c r="Q14" s="253">
        <f t="shared" ref="Q14:Q21" si="28">I14/Q$3</f>
        <v>274915.94603943272</v>
      </c>
      <c r="S14" s="255">
        <f t="shared" ref="S14:S22" si="29">+K14/K$11</f>
        <v>0.49968939469745094</v>
      </c>
      <c r="T14" s="144">
        <f t="shared" si="21"/>
        <v>0.54982831745724092</v>
      </c>
      <c r="U14" s="144">
        <f t="shared" si="21"/>
        <v>0.53690480016181363</v>
      </c>
      <c r="V14" s="144">
        <f t="shared" si="21"/>
        <v>0.55643467038638206</v>
      </c>
      <c r="W14" s="144">
        <f t="shared" si="21"/>
        <v>0.58628293053786262</v>
      </c>
      <c r="X14" s="144">
        <f t="shared" si="21"/>
        <v>0.5806212935998788</v>
      </c>
      <c r="Y14" s="257">
        <f t="shared" si="21"/>
        <v>0.55626618513697013</v>
      </c>
      <c r="AA14" s="267"/>
      <c r="AB14" s="267"/>
      <c r="AC14" s="267"/>
      <c r="AD14" s="267"/>
      <c r="AE14" s="267"/>
      <c r="AF14" s="267"/>
      <c r="AG14" s="267"/>
      <c r="AI14" s="267"/>
      <c r="AJ14" s="267"/>
      <c r="AK14" s="267"/>
      <c r="AL14" s="267"/>
      <c r="AM14" s="267"/>
      <c r="AN14" s="267"/>
      <c r="AO14" s="267"/>
    </row>
    <row r="15" spans="2:67" hidden="1" outlineLevel="1">
      <c r="B15" s="212" t="s">
        <v>336</v>
      </c>
      <c r="C15" s="252">
        <v>112535</v>
      </c>
      <c r="D15" s="252">
        <v>109966</v>
      </c>
      <c r="E15" s="252">
        <v>100089</v>
      </c>
      <c r="F15" s="252">
        <v>105670</v>
      </c>
      <c r="G15" s="252">
        <v>96630</v>
      </c>
      <c r="H15" s="252">
        <v>83155</v>
      </c>
      <c r="I15" s="253">
        <v>85848</v>
      </c>
      <c r="K15" s="254">
        <f t="shared" si="22"/>
        <v>33001.466275659819</v>
      </c>
      <c r="L15" s="252">
        <f t="shared" si="23"/>
        <v>36777.926421404678</v>
      </c>
      <c r="M15" s="252">
        <f t="shared" si="24"/>
        <v>35797.210300429186</v>
      </c>
      <c r="N15" s="252">
        <f t="shared" si="25"/>
        <v>41422.971383771066</v>
      </c>
      <c r="O15" s="252">
        <f t="shared" si="26"/>
        <v>35828.698553948831</v>
      </c>
      <c r="P15" s="252">
        <f t="shared" si="27"/>
        <v>29603.061587753647</v>
      </c>
      <c r="Q15" s="253">
        <f t="shared" si="28"/>
        <v>29694.915254237287</v>
      </c>
      <c r="S15" s="255">
        <f t="shared" si="29"/>
        <v>4.5961824749994391E-2</v>
      </c>
      <c r="T15" s="144">
        <f t="shared" si="21"/>
        <v>4.9338148430808547E-2</v>
      </c>
      <c r="U15" s="144">
        <f t="shared" si="21"/>
        <v>4.7300771451201588E-2</v>
      </c>
      <c r="V15" s="144">
        <f t="shared" si="21"/>
        <v>5.1519877838359124E-2</v>
      </c>
      <c r="W15" s="144">
        <f t="shared" si="21"/>
        <v>5.4660789721984009E-2</v>
      </c>
      <c r="X15" s="144">
        <f t="shared" si="21"/>
        <v>5.4065247596142903E-2</v>
      </c>
      <c r="Y15" s="257">
        <f t="shared" si="21"/>
        <v>6.0084827615168195E-2</v>
      </c>
      <c r="AA15" s="267"/>
      <c r="AB15" s="267"/>
      <c r="AC15" s="267"/>
      <c r="AD15" s="267"/>
      <c r="AE15" s="267"/>
      <c r="AF15" s="267"/>
      <c r="AG15" s="267"/>
      <c r="AI15" s="267"/>
      <c r="AJ15" s="267"/>
      <c r="AK15" s="267"/>
      <c r="AL15" s="267"/>
      <c r="AM15" s="267"/>
      <c r="AN15" s="267"/>
      <c r="AO15" s="267"/>
    </row>
    <row r="16" spans="2:67" hidden="1" outlineLevel="1">
      <c r="B16" s="212" t="s">
        <v>337</v>
      </c>
      <c r="C16" s="252">
        <v>110780</v>
      </c>
      <c r="D16" s="252">
        <v>76156</v>
      </c>
      <c r="E16" s="252">
        <v>95473</v>
      </c>
      <c r="F16" s="252">
        <v>83880</v>
      </c>
      <c r="G16" s="252">
        <v>72686</v>
      </c>
      <c r="H16" s="252">
        <v>65554</v>
      </c>
      <c r="I16" s="253">
        <v>58322</v>
      </c>
      <c r="K16" s="254">
        <f t="shared" si="22"/>
        <v>32486.803519061581</v>
      </c>
      <c r="L16" s="252">
        <f t="shared" si="23"/>
        <v>25470.234113712373</v>
      </c>
      <c r="M16" s="252">
        <f t="shared" si="24"/>
        <v>34146.28040057225</v>
      </c>
      <c r="N16" s="252">
        <f t="shared" si="25"/>
        <v>32881.223049784399</v>
      </c>
      <c r="O16" s="252">
        <f t="shared" si="26"/>
        <v>26950.685947348906</v>
      </c>
      <c r="P16" s="252">
        <f t="shared" si="27"/>
        <v>23337.130651477393</v>
      </c>
      <c r="Q16" s="253">
        <f t="shared" si="28"/>
        <v>20173.642338291247</v>
      </c>
      <c r="S16" s="255">
        <f t="shared" si="29"/>
        <v>4.5245043282573234E-2</v>
      </c>
      <c r="T16" s="144">
        <f t="shared" si="21"/>
        <v>3.4168706981218343E-2</v>
      </c>
      <c r="U16" s="144">
        <f t="shared" si="21"/>
        <v>4.511930934229106E-2</v>
      </c>
      <c r="V16" s="144">
        <f t="shared" si="21"/>
        <v>4.0896066557031929E-2</v>
      </c>
      <c r="W16" s="144">
        <f t="shared" si="21"/>
        <v>4.1116363052179757E-2</v>
      </c>
      <c r="X16" s="144">
        <f t="shared" si="21"/>
        <v>4.2621528962991428E-2</v>
      </c>
      <c r="Y16" s="257">
        <f t="shared" si="21"/>
        <v>4.0819440361707197E-2</v>
      </c>
      <c r="AA16" s="267"/>
      <c r="AB16" s="267"/>
      <c r="AC16" s="267"/>
      <c r="AD16" s="267"/>
      <c r="AE16" s="267"/>
      <c r="AF16" s="267"/>
      <c r="AG16" s="267"/>
      <c r="AI16" s="267"/>
      <c r="AJ16" s="267"/>
      <c r="AK16" s="267"/>
      <c r="AL16" s="267"/>
      <c r="AM16" s="267"/>
      <c r="AN16" s="267"/>
      <c r="AO16" s="267"/>
    </row>
    <row r="17" spans="2:41" hidden="1" outlineLevel="1">
      <c r="B17" s="212" t="s">
        <v>338</v>
      </c>
      <c r="C17" s="252">
        <v>2172</v>
      </c>
      <c r="D17" s="252">
        <v>2115</v>
      </c>
      <c r="E17" s="252">
        <v>2244</v>
      </c>
      <c r="F17" s="252">
        <v>1524</v>
      </c>
      <c r="G17" s="252">
        <v>1421</v>
      </c>
      <c r="H17" s="252">
        <v>1425</v>
      </c>
      <c r="I17" s="253">
        <v>1322</v>
      </c>
      <c r="K17" s="254">
        <f t="shared" si="22"/>
        <v>636.95014662756591</v>
      </c>
      <c r="L17" s="252">
        <f t="shared" si="23"/>
        <v>707.35785953177253</v>
      </c>
      <c r="M17" s="252">
        <f t="shared" si="24"/>
        <v>802.57510729613739</v>
      </c>
      <c r="N17" s="252">
        <f t="shared" si="25"/>
        <v>597.41277930223441</v>
      </c>
      <c r="O17" s="252">
        <f t="shared" si="26"/>
        <v>526.88172043010752</v>
      </c>
      <c r="P17" s="252">
        <f t="shared" si="27"/>
        <v>507.29797080811676</v>
      </c>
      <c r="Q17" s="253">
        <f t="shared" si="28"/>
        <v>457.28121757177445</v>
      </c>
      <c r="S17" s="255">
        <f t="shared" si="29"/>
        <v>8.8709364515028935E-4</v>
      </c>
      <c r="T17" s="144">
        <f t="shared" si="21"/>
        <v>9.4893134178891734E-4</v>
      </c>
      <c r="U17" s="144">
        <f t="shared" si="21"/>
        <v>1.0604854792883971E-3</v>
      </c>
      <c r="V17" s="144">
        <f t="shared" si="21"/>
        <v>7.4303296891889197E-4</v>
      </c>
      <c r="W17" s="144">
        <f t="shared" si="21"/>
        <v>8.0381850558769821E-4</v>
      </c>
      <c r="X17" s="144">
        <f t="shared" si="21"/>
        <v>9.2649844055683536E-4</v>
      </c>
      <c r="Y17" s="257">
        <f t="shared" si="21"/>
        <v>9.2526491132294698E-4</v>
      </c>
      <c r="AA17" s="267"/>
      <c r="AB17" s="267"/>
      <c r="AC17" s="267"/>
      <c r="AD17" s="267"/>
      <c r="AE17" s="267"/>
      <c r="AF17" s="267"/>
      <c r="AG17" s="267"/>
      <c r="AI17" s="267"/>
      <c r="AJ17" s="267"/>
      <c r="AK17" s="267"/>
      <c r="AL17" s="267"/>
      <c r="AM17" s="267"/>
      <c r="AN17" s="267"/>
      <c r="AO17" s="267"/>
    </row>
    <row r="18" spans="2:41" hidden="1" outlineLevel="1">
      <c r="B18" s="212" t="s">
        <v>1709</v>
      </c>
      <c r="C18" s="252">
        <v>90886</v>
      </c>
      <c r="D18" s="252">
        <v>80677</v>
      </c>
      <c r="E18" s="252">
        <v>74599</v>
      </c>
      <c r="F18" s="252">
        <v>69307</v>
      </c>
      <c r="G18" s="252">
        <v>59308</v>
      </c>
      <c r="H18" s="252">
        <v>50172</v>
      </c>
      <c r="I18" s="253">
        <v>47552</v>
      </c>
      <c r="K18" s="254">
        <f t="shared" si="22"/>
        <v>26652.785923753665</v>
      </c>
      <c r="L18" s="252">
        <f t="shared" si="23"/>
        <v>26982.274247491638</v>
      </c>
      <c r="M18" s="252">
        <f t="shared" si="24"/>
        <v>26680.615164520746</v>
      </c>
      <c r="N18" s="252">
        <f t="shared" si="25"/>
        <v>27168.561348490788</v>
      </c>
      <c r="O18" s="252">
        <f t="shared" si="26"/>
        <v>21990.359658880236</v>
      </c>
      <c r="P18" s="252">
        <f t="shared" si="27"/>
        <v>17861.160555357779</v>
      </c>
      <c r="Q18" s="253">
        <f t="shared" si="28"/>
        <v>16448.287789692149</v>
      </c>
      <c r="S18" s="255">
        <f t="shared" si="29"/>
        <v>3.7119886295179191E-2</v>
      </c>
      <c r="T18" s="144">
        <f t="shared" si="21"/>
        <v>3.6197131849411104E-2</v>
      </c>
      <c r="U18" s="144">
        <f t="shared" si="21"/>
        <v>3.5254525966771449E-2</v>
      </c>
      <c r="V18" s="144">
        <f t="shared" si="21"/>
        <v>3.3790935680355412E-2</v>
      </c>
      <c r="W18" s="144">
        <f t="shared" si="21"/>
        <v>3.3548816276843911E-2</v>
      </c>
      <c r="X18" s="144">
        <f t="shared" si="21"/>
        <v>3.2620547199731613E-2</v>
      </c>
      <c r="Y18" s="257">
        <f t="shared" si="21"/>
        <v>3.3281540895029334E-2</v>
      </c>
      <c r="AA18" s="267"/>
      <c r="AB18" s="267"/>
      <c r="AC18" s="267"/>
      <c r="AD18" s="267"/>
      <c r="AE18" s="267"/>
      <c r="AF18" s="267"/>
      <c r="AG18" s="267"/>
      <c r="AI18" s="267"/>
      <c r="AJ18" s="267"/>
      <c r="AK18" s="267"/>
      <c r="AL18" s="267"/>
      <c r="AM18" s="267"/>
      <c r="AN18" s="267"/>
      <c r="AO18" s="267"/>
    </row>
    <row r="19" spans="2:41" hidden="1" outlineLevel="1">
      <c r="B19" s="212" t="s">
        <v>1710</v>
      </c>
      <c r="C19" s="252">
        <v>103</v>
      </c>
      <c r="D19" s="252">
        <v>33</v>
      </c>
      <c r="E19" s="252">
        <v>11</v>
      </c>
      <c r="F19" s="252">
        <v>0</v>
      </c>
      <c r="G19" s="252">
        <v>16</v>
      </c>
      <c r="H19" s="252">
        <v>33</v>
      </c>
      <c r="I19" s="253">
        <v>3</v>
      </c>
      <c r="K19" s="254">
        <f t="shared" si="22"/>
        <v>30.205278592375365</v>
      </c>
      <c r="L19" s="252">
        <f t="shared" si="23"/>
        <v>11.036789297658862</v>
      </c>
      <c r="M19" s="252">
        <f t="shared" si="24"/>
        <v>3.9341917024320461</v>
      </c>
      <c r="N19" s="252">
        <f t="shared" si="25"/>
        <v>0</v>
      </c>
      <c r="O19" s="252">
        <f t="shared" si="26"/>
        <v>5.9325176121616607</v>
      </c>
      <c r="P19" s="252">
        <f t="shared" si="27"/>
        <v>11.747953008187967</v>
      </c>
      <c r="Q19" s="253">
        <f t="shared" si="28"/>
        <v>1.0377032168799722</v>
      </c>
      <c r="S19" s="255">
        <f t="shared" si="29"/>
        <v>4.2067516321583709E-5</v>
      </c>
      <c r="T19" s="144">
        <f t="shared" si="21"/>
        <v>1.4806020935713604E-5</v>
      </c>
      <c r="U19" s="144">
        <f t="shared" si="21"/>
        <v>5.1984582318058681E-6</v>
      </c>
      <c r="V19" s="144">
        <f t="shared" si="21"/>
        <v>0</v>
      </c>
      <c r="W19" s="144">
        <f t="shared" si="21"/>
        <v>9.0507361642527596E-6</v>
      </c>
      <c r="X19" s="144">
        <f t="shared" si="21"/>
        <v>2.1455753360263553E-5</v>
      </c>
      <c r="Y19" s="257">
        <f t="shared" si="21"/>
        <v>2.0996934447570657E-6</v>
      </c>
      <c r="AA19" s="267"/>
      <c r="AB19" s="267"/>
      <c r="AC19" s="267"/>
      <c r="AD19" s="267"/>
      <c r="AE19" s="267"/>
      <c r="AF19" s="267"/>
      <c r="AG19" s="267"/>
      <c r="AI19" s="267"/>
      <c r="AJ19" s="267"/>
      <c r="AK19" s="267"/>
      <c r="AL19" s="267"/>
      <c r="AM19" s="267"/>
      <c r="AN19" s="267"/>
      <c r="AO19" s="267"/>
    </row>
    <row r="20" spans="2:41" hidden="1" outlineLevel="1">
      <c r="B20" s="212" t="s">
        <v>339</v>
      </c>
      <c r="C20" s="252">
        <v>7253</v>
      </c>
      <c r="D20" s="252">
        <v>6369</v>
      </c>
      <c r="E20" s="252">
        <v>6499</v>
      </c>
      <c r="F20" s="252">
        <v>6107</v>
      </c>
      <c r="G20" s="252">
        <v>5463</v>
      </c>
      <c r="H20" s="252">
        <v>5248</v>
      </c>
      <c r="I20" s="253">
        <v>4826</v>
      </c>
      <c r="K20" s="254">
        <f t="shared" si="22"/>
        <v>2126.9794721407625</v>
      </c>
      <c r="L20" s="252">
        <f t="shared" si="23"/>
        <v>2130.1003344481605</v>
      </c>
      <c r="M20" s="252">
        <f t="shared" si="24"/>
        <v>2324.391988555079</v>
      </c>
      <c r="N20" s="252">
        <f t="shared" si="25"/>
        <v>2393.9631517052135</v>
      </c>
      <c r="O20" s="252">
        <f t="shared" si="26"/>
        <v>2025.583982202447</v>
      </c>
      <c r="P20" s="252">
        <f t="shared" si="27"/>
        <v>1868.2805268778923</v>
      </c>
      <c r="Q20" s="253">
        <f t="shared" si="28"/>
        <v>1669.3185748875821</v>
      </c>
      <c r="S20" s="255">
        <f t="shared" si="29"/>
        <v>2.9622883095188996E-3</v>
      </c>
      <c r="T20" s="144">
        <f t="shared" si="21"/>
        <v>2.8575620405927259E-3</v>
      </c>
      <c r="U20" s="144">
        <f t="shared" si="21"/>
        <v>3.0713436407733032E-3</v>
      </c>
      <c r="V20" s="144">
        <f t="shared" si="21"/>
        <v>2.9774949745325937E-3</v>
      </c>
      <c r="W20" s="144">
        <f t="shared" si="21"/>
        <v>3.0902607290820513E-3</v>
      </c>
      <c r="X20" s="144">
        <f t="shared" si="21"/>
        <v>3.4121149586261554E-3</v>
      </c>
      <c r="Y20" s="257">
        <f t="shared" si="21"/>
        <v>3.3777068547992E-3</v>
      </c>
      <c r="AA20" s="267"/>
      <c r="AB20" s="267"/>
      <c r="AC20" s="267"/>
      <c r="AD20" s="267"/>
      <c r="AE20" s="267"/>
      <c r="AF20" s="267"/>
      <c r="AG20" s="267"/>
      <c r="AI20" s="267"/>
      <c r="AJ20" s="267"/>
      <c r="AK20" s="267"/>
      <c r="AL20" s="267"/>
      <c r="AM20" s="267"/>
      <c r="AN20" s="267"/>
      <c r="AO20" s="267"/>
    </row>
    <row r="21" spans="2:41" hidden="1" outlineLevel="1">
      <c r="B21" s="212" t="s">
        <v>1711</v>
      </c>
      <c r="C21" s="252">
        <v>-63722</v>
      </c>
      <c r="D21" s="252">
        <v>-69320</v>
      </c>
      <c r="E21" s="252">
        <v>-62499</v>
      </c>
      <c r="F21" s="252">
        <v>-63155</v>
      </c>
      <c r="G21" s="252">
        <v>-49629</v>
      </c>
      <c r="H21" s="252">
        <v>-48319</v>
      </c>
      <c r="I21" s="253">
        <v>-32572</v>
      </c>
      <c r="K21" s="254">
        <f t="shared" si="22"/>
        <v>-18686.803519061581</v>
      </c>
      <c r="L21" s="252">
        <f t="shared" si="23"/>
        <v>-23183.946488294314</v>
      </c>
      <c r="M21" s="252">
        <f t="shared" si="24"/>
        <v>-22353.004291845496</v>
      </c>
      <c r="N21" s="252">
        <f t="shared" si="25"/>
        <v>-24756.958055664443</v>
      </c>
      <c r="O21" s="252">
        <f t="shared" si="26"/>
        <v>-18401.55728587319</v>
      </c>
      <c r="P21" s="252">
        <f t="shared" si="27"/>
        <v>-17201.495194019222</v>
      </c>
      <c r="Q21" s="253">
        <f t="shared" si="28"/>
        <v>-11266.689726738154</v>
      </c>
      <c r="S21" s="255">
        <f t="shared" si="29"/>
        <v>-2.6025497815960745E-2</v>
      </c>
      <c r="T21" s="144">
        <f t="shared" si="21"/>
        <v>-3.1101617311020215E-2</v>
      </c>
      <c r="U21" s="144">
        <f t="shared" si="21"/>
        <v>-2.9536221911784996E-2</v>
      </c>
      <c r="V21" s="144">
        <f t="shared" si="21"/>
        <v>-3.0791500755953161E-2</v>
      </c>
      <c r="W21" s="144">
        <f t="shared" si="21"/>
        <v>-2.8073686568481259E-2</v>
      </c>
      <c r="X21" s="144">
        <f t="shared" si="21"/>
        <v>-3.1415774139835595E-2</v>
      </c>
      <c r="Y21" s="257">
        <f t="shared" si="21"/>
        <v>-2.2797071627542385E-2</v>
      </c>
      <c r="AA21" s="267"/>
      <c r="AB21" s="267"/>
      <c r="AC21" s="267"/>
      <c r="AD21" s="267"/>
      <c r="AE21" s="267"/>
      <c r="AF21" s="267"/>
      <c r="AG21" s="267"/>
      <c r="AI21" s="267"/>
      <c r="AJ21" s="267"/>
      <c r="AK21" s="267"/>
      <c r="AL21" s="267"/>
      <c r="AM21" s="267"/>
      <c r="AN21" s="267"/>
      <c r="AO21" s="267"/>
    </row>
    <row r="22" spans="2:41" ht="15" collapsed="1">
      <c r="B22" s="258" t="s">
        <v>66</v>
      </c>
      <c r="C22" s="220">
        <f t="shared" ref="C22:I22" si="30">SUM(C13:C21)</f>
        <v>1552789</v>
      </c>
      <c r="D22" s="220">
        <f t="shared" si="30"/>
        <v>1493965</v>
      </c>
      <c r="E22" s="220">
        <f t="shared" si="30"/>
        <v>1415667</v>
      </c>
      <c r="F22" s="220">
        <f t="shared" si="30"/>
        <v>1394239</v>
      </c>
      <c r="G22" s="220">
        <f t="shared" si="30"/>
        <v>1270652</v>
      </c>
      <c r="H22" s="220">
        <f t="shared" si="30"/>
        <v>1082864</v>
      </c>
      <c r="I22" s="221">
        <f t="shared" si="30"/>
        <v>989818</v>
      </c>
      <c r="J22" s="259"/>
      <c r="K22" s="219">
        <f t="shared" ref="K22:Q22" si="31">SUM(K13:K21)</f>
        <v>455363.34310850437</v>
      </c>
      <c r="L22" s="220">
        <f t="shared" si="31"/>
        <v>499653.84615384613</v>
      </c>
      <c r="M22" s="220">
        <f t="shared" si="31"/>
        <v>506318.66952789703</v>
      </c>
      <c r="N22" s="220">
        <f t="shared" si="31"/>
        <v>546546.06036848284</v>
      </c>
      <c r="O22" s="220">
        <f t="shared" si="31"/>
        <v>471135.33555802749</v>
      </c>
      <c r="P22" s="220">
        <f t="shared" si="31"/>
        <v>385498.04200783186</v>
      </c>
      <c r="Q22" s="221">
        <f t="shared" si="31"/>
        <v>342379.1075752335</v>
      </c>
      <c r="S22" s="255">
        <f t="shared" si="29"/>
        <v>0.6341939475871422</v>
      </c>
      <c r="T22" s="144">
        <f t="shared" si="21"/>
        <v>0.67029324446131433</v>
      </c>
      <c r="U22" s="144">
        <f t="shared" si="21"/>
        <v>0.66902597905871974</v>
      </c>
      <c r="V22" s="144">
        <f t="shared" si="21"/>
        <v>0.67976741702920396</v>
      </c>
      <c r="W22" s="144">
        <f t="shared" si="21"/>
        <v>0.7187710005362562</v>
      </c>
      <c r="X22" s="144">
        <f t="shared" si="21"/>
        <v>0.70405039111237666</v>
      </c>
      <c r="Y22" s="257">
        <f t="shared" si="21"/>
        <v>0.6927714553675165</v>
      </c>
      <c r="AA22" s="267"/>
      <c r="AB22" s="267"/>
      <c r="AC22" s="267"/>
      <c r="AD22" s="267"/>
      <c r="AE22" s="267"/>
      <c r="AF22" s="267"/>
      <c r="AG22" s="267"/>
      <c r="AI22" s="267"/>
      <c r="AJ22" s="267"/>
      <c r="AK22" s="267"/>
      <c r="AL22" s="267"/>
      <c r="AM22" s="267"/>
      <c r="AN22" s="267"/>
      <c r="AO22" s="267"/>
    </row>
    <row r="23" spans="2:41">
      <c r="B23" s="227" t="s">
        <v>340</v>
      </c>
      <c r="C23" s="229">
        <f t="shared" ref="C23:I23" si="32">+C11-C22</f>
        <v>895656</v>
      </c>
      <c r="D23" s="229">
        <f t="shared" si="32"/>
        <v>734858</v>
      </c>
      <c r="E23" s="229">
        <f t="shared" si="32"/>
        <v>700345</v>
      </c>
      <c r="F23" s="229">
        <f t="shared" si="32"/>
        <v>656814</v>
      </c>
      <c r="G23" s="229">
        <f t="shared" si="32"/>
        <v>497160</v>
      </c>
      <c r="H23" s="229">
        <f t="shared" si="32"/>
        <v>455185</v>
      </c>
      <c r="I23" s="230">
        <f t="shared" si="32"/>
        <v>438962</v>
      </c>
      <c r="J23" s="207"/>
      <c r="K23" s="228">
        <f t="shared" ref="K23:Q23" si="33">+K11-K22</f>
        <v>262655.71847507317</v>
      </c>
      <c r="L23" s="229">
        <f t="shared" si="33"/>
        <v>245771.906354515</v>
      </c>
      <c r="M23" s="229">
        <f t="shared" si="33"/>
        <v>250481.04434907029</v>
      </c>
      <c r="N23" s="229">
        <f t="shared" si="33"/>
        <v>257473.14778518234</v>
      </c>
      <c r="O23" s="229">
        <f t="shared" si="33"/>
        <v>184338.15350389318</v>
      </c>
      <c r="P23" s="229">
        <f t="shared" si="33"/>
        <v>162045.21181915281</v>
      </c>
      <c r="Q23" s="230">
        <f t="shared" si="33"/>
        <v>151837.42649602203</v>
      </c>
      <c r="S23" s="268"/>
      <c r="T23" s="269"/>
      <c r="U23" s="269"/>
      <c r="V23" s="269"/>
      <c r="W23" s="269"/>
      <c r="X23" s="269"/>
      <c r="Y23" s="264"/>
      <c r="AA23" s="267"/>
      <c r="AB23" s="267"/>
      <c r="AC23" s="267"/>
      <c r="AD23" s="267"/>
      <c r="AE23" s="267"/>
      <c r="AF23" s="267"/>
      <c r="AG23" s="267"/>
      <c r="AI23" s="267"/>
      <c r="AJ23" s="267"/>
      <c r="AK23" s="267"/>
      <c r="AL23" s="267"/>
      <c r="AM23" s="267"/>
      <c r="AN23" s="267"/>
      <c r="AO23" s="267"/>
    </row>
    <row r="24" spans="2:41">
      <c r="B24" s="270"/>
      <c r="C24" s="271"/>
      <c r="D24" s="271"/>
      <c r="E24" s="271"/>
      <c r="F24" s="271"/>
      <c r="G24" s="271"/>
      <c r="H24" s="271"/>
      <c r="I24" s="272"/>
      <c r="K24" s="1494"/>
      <c r="L24" s="1494"/>
      <c r="M24" s="1494"/>
      <c r="N24" s="1494"/>
      <c r="O24" s="1494"/>
      <c r="P24" s="1494"/>
      <c r="Q24" s="1494"/>
      <c r="S24" s="273"/>
      <c r="T24" s="266"/>
      <c r="U24" s="266"/>
      <c r="V24" s="266"/>
      <c r="W24" s="266"/>
      <c r="X24" s="266"/>
      <c r="Y24" s="256"/>
      <c r="AA24" s="267"/>
      <c r="AB24" s="267"/>
      <c r="AC24" s="267"/>
      <c r="AD24" s="267"/>
      <c r="AE24" s="267"/>
      <c r="AF24" s="267"/>
      <c r="AG24" s="267"/>
      <c r="AI24" s="267"/>
      <c r="AJ24" s="267"/>
      <c r="AK24" s="267"/>
      <c r="AL24" s="267"/>
      <c r="AM24" s="267"/>
      <c r="AN24" s="267"/>
      <c r="AO24" s="267"/>
    </row>
    <row r="25" spans="2:41" hidden="1" outlineLevel="1">
      <c r="B25" s="209" t="s">
        <v>341</v>
      </c>
      <c r="C25" s="220"/>
      <c r="D25" s="220"/>
      <c r="E25" s="220"/>
      <c r="F25" s="220"/>
      <c r="G25" s="220"/>
      <c r="H25" s="220"/>
      <c r="I25" s="221"/>
      <c r="J25" s="207"/>
      <c r="K25" s="219"/>
      <c r="L25" s="220"/>
      <c r="M25" s="220"/>
      <c r="N25" s="220"/>
      <c r="O25" s="220"/>
      <c r="P25" s="220"/>
      <c r="Q25" s="221"/>
      <c r="S25" s="265" t="s">
        <v>342</v>
      </c>
      <c r="T25" s="266"/>
      <c r="U25" s="266"/>
      <c r="V25" s="266"/>
      <c r="W25" s="266"/>
      <c r="X25" s="266"/>
      <c r="Y25" s="256"/>
      <c r="AA25" s="267" t="s">
        <v>334</v>
      </c>
      <c r="AB25" s="267"/>
      <c r="AC25" s="267"/>
      <c r="AD25" s="267"/>
      <c r="AE25" s="267"/>
      <c r="AF25" s="267"/>
      <c r="AG25" s="267"/>
      <c r="AI25" s="267"/>
      <c r="AJ25" s="267"/>
      <c r="AK25" s="267"/>
      <c r="AL25" s="267"/>
      <c r="AM25" s="267"/>
      <c r="AN25" s="267"/>
      <c r="AO25" s="267"/>
    </row>
    <row r="26" spans="2:41" hidden="1" outlineLevel="1">
      <c r="B26" s="212" t="s">
        <v>336</v>
      </c>
      <c r="C26" s="252">
        <v>92740</v>
      </c>
      <c r="D26" s="252">
        <v>85954</v>
      </c>
      <c r="E26" s="252">
        <v>71290</v>
      </c>
      <c r="F26" s="252">
        <v>71977</v>
      </c>
      <c r="G26" s="252">
        <v>56187</v>
      </c>
      <c r="H26" s="252">
        <v>44773</v>
      </c>
      <c r="I26" s="253">
        <v>45339</v>
      </c>
      <c r="K26" s="254">
        <f t="shared" ref="K26" si="34">C26/K$3</f>
        <v>27196.480938416422</v>
      </c>
      <c r="L26" s="252">
        <f t="shared" ref="L26" si="35">D26/L$3</f>
        <v>28747.157190635451</v>
      </c>
      <c r="M26" s="252">
        <f t="shared" ref="M26" si="36">E26/M$3</f>
        <v>25497.138769670961</v>
      </c>
      <c r="N26" s="252">
        <f t="shared" ref="N26" si="37">F26/N$3</f>
        <v>28215.209721677773</v>
      </c>
      <c r="O26" s="252">
        <f t="shared" ref="O26" si="38">G26/O$3</f>
        <v>20833.147942157953</v>
      </c>
      <c r="P26" s="252">
        <f t="shared" ref="P26" si="39">H26/P$3</f>
        <v>15939.124243503025</v>
      </c>
      <c r="Q26" s="253">
        <f t="shared" ref="Q26" si="40">I26/Q$3</f>
        <v>15682.808716707023</v>
      </c>
      <c r="S26" s="255">
        <f>+K26/K$11</f>
        <v>3.7877101588967697E-2</v>
      </c>
      <c r="T26" s="144">
        <f t="shared" ref="T26:Y41" si="41">+L26/L$11</f>
        <v>3.8564749197222033E-2</v>
      </c>
      <c r="U26" s="144">
        <f t="shared" si="41"/>
        <v>3.3690735213221849E-2</v>
      </c>
      <c r="V26" s="144">
        <f t="shared" si="41"/>
        <v>3.5092706039288116E-2</v>
      </c>
      <c r="W26" s="144">
        <f t="shared" si="41"/>
        <v>3.1783357053804362E-2</v>
      </c>
      <c r="X26" s="144">
        <f t="shared" si="41"/>
        <v>2.9110255915123642E-2</v>
      </c>
      <c r="Y26" s="257">
        <f t="shared" si="41"/>
        <v>3.1732667030613539E-2</v>
      </c>
      <c r="AA26" s="267"/>
      <c r="AB26" s="267"/>
      <c r="AC26" s="267"/>
      <c r="AD26" s="267"/>
      <c r="AE26" s="267"/>
      <c r="AF26" s="267"/>
      <c r="AG26" s="267"/>
      <c r="AI26" s="267"/>
      <c r="AJ26" s="267"/>
      <c r="AK26" s="267"/>
      <c r="AL26" s="267"/>
      <c r="AM26" s="267"/>
      <c r="AN26" s="267"/>
      <c r="AO26" s="267"/>
    </row>
    <row r="27" spans="2:41" hidden="1" outlineLevel="1">
      <c r="B27" s="212" t="s">
        <v>337</v>
      </c>
      <c r="C27" s="252">
        <v>241040</v>
      </c>
      <c r="D27" s="252">
        <v>208486</v>
      </c>
      <c r="E27" s="252">
        <v>201028</v>
      </c>
      <c r="F27" s="252">
        <v>170689</v>
      </c>
      <c r="G27" s="252">
        <v>135055</v>
      </c>
      <c r="H27" s="252">
        <v>119399</v>
      </c>
      <c r="I27" s="253">
        <v>113213</v>
      </c>
      <c r="K27" s="254">
        <f t="shared" ref="K27:K32" si="42">C27/K$3</f>
        <v>70686.217008797656</v>
      </c>
      <c r="L27" s="252">
        <f t="shared" ref="L27:L32" si="43">D27/L$3</f>
        <v>69727.759197324413</v>
      </c>
      <c r="M27" s="252">
        <f t="shared" ref="M27:M32" si="44">E27/M$3</f>
        <v>71898.426323319029</v>
      </c>
      <c r="N27" s="252">
        <f t="shared" ref="N27:N32" si="45">F27/N$3</f>
        <v>66910.623284986272</v>
      </c>
      <c r="O27" s="252">
        <f t="shared" ref="O27:O32" si="46">G27/O$3</f>
        <v>50076.01038190582</v>
      </c>
      <c r="P27" s="252">
        <f t="shared" ref="P27:P32" si="47">H27/P$3</f>
        <v>42505.873976504088</v>
      </c>
      <c r="Q27" s="253">
        <f t="shared" ref="Q27:Q32" si="48">I27/Q$3</f>
        <v>39160.498097544099</v>
      </c>
      <c r="S27" s="255">
        <f t="shared" ref="S27:Y42" si="49">+K27/K$11</f>
        <v>9.8446156642277058E-2</v>
      </c>
      <c r="T27" s="144">
        <f t="shared" si="41"/>
        <v>9.3540850933429898E-2</v>
      </c>
      <c r="U27" s="144">
        <f t="shared" si="41"/>
        <v>9.5003241947588177E-2</v>
      </c>
      <c r="V27" s="144">
        <f t="shared" si="41"/>
        <v>8.3220180073357436E-2</v>
      </c>
      <c r="W27" s="144">
        <f t="shared" si="41"/>
        <v>7.6396698291447282E-2</v>
      </c>
      <c r="X27" s="144">
        <f t="shared" si="41"/>
        <v>7.763016652915479E-2</v>
      </c>
      <c r="Y27" s="257">
        <f t="shared" si="41"/>
        <v>7.9237531320427226E-2</v>
      </c>
      <c r="AA27" s="267"/>
      <c r="AB27" s="267"/>
      <c r="AC27" s="267"/>
      <c r="AD27" s="267"/>
      <c r="AE27" s="267"/>
      <c r="AF27" s="267"/>
      <c r="AG27" s="267"/>
      <c r="AI27" s="267"/>
      <c r="AJ27" s="267"/>
      <c r="AK27" s="267"/>
      <c r="AL27" s="267"/>
      <c r="AM27" s="267"/>
      <c r="AN27" s="267"/>
      <c r="AO27" s="267"/>
    </row>
    <row r="28" spans="2:41" hidden="1" outlineLevel="1">
      <c r="B28" s="212" t="s">
        <v>343</v>
      </c>
      <c r="C28" s="252">
        <v>101016</v>
      </c>
      <c r="D28" s="252">
        <v>75838</v>
      </c>
      <c r="E28" s="252">
        <v>92390</v>
      </c>
      <c r="F28" s="252">
        <v>81205</v>
      </c>
      <c r="G28" s="252">
        <v>69781</v>
      </c>
      <c r="H28" s="252">
        <v>63639</v>
      </c>
      <c r="I28" s="253">
        <v>55468</v>
      </c>
      <c r="K28" s="254">
        <f t="shared" si="42"/>
        <v>29623.460410557185</v>
      </c>
      <c r="L28" s="252">
        <f t="shared" si="43"/>
        <v>25363.879598662206</v>
      </c>
      <c r="M28" s="252">
        <f t="shared" si="44"/>
        <v>33043.633762517886</v>
      </c>
      <c r="N28" s="252">
        <f t="shared" si="45"/>
        <v>31832.614660917287</v>
      </c>
      <c r="O28" s="252">
        <f t="shared" si="46"/>
        <v>25873.563218390806</v>
      </c>
      <c r="P28" s="252">
        <f t="shared" si="47"/>
        <v>22655.393378426485</v>
      </c>
      <c r="Q28" s="253">
        <f t="shared" si="48"/>
        <v>19186.4406779661</v>
      </c>
      <c r="S28" s="255">
        <f t="shared" si="49"/>
        <v>4.1257206104282525E-2</v>
      </c>
      <c r="T28" s="144">
        <f t="shared" si="41"/>
        <v>3.4026030779474192E-2</v>
      </c>
      <c r="U28" s="144">
        <f t="shared" si="41"/>
        <v>4.3662323276049464E-2</v>
      </c>
      <c r="V28" s="144">
        <f t="shared" si="41"/>
        <v>3.9591858425891482E-2</v>
      </c>
      <c r="W28" s="144">
        <f t="shared" si="41"/>
        <v>3.9473088767357618E-2</v>
      </c>
      <c r="X28" s="144">
        <f t="shared" si="41"/>
        <v>4.1376445093751886E-2</v>
      </c>
      <c r="Y28" s="257">
        <f t="shared" si="41"/>
        <v>3.8821931997928306E-2</v>
      </c>
      <c r="AA28" s="267"/>
      <c r="AB28" s="267"/>
      <c r="AC28" s="267"/>
      <c r="AD28" s="267"/>
      <c r="AE28" s="267"/>
      <c r="AF28" s="267"/>
      <c r="AG28" s="267"/>
      <c r="AI28" s="267"/>
      <c r="AJ28" s="267"/>
      <c r="AK28" s="267"/>
      <c r="AL28" s="267"/>
      <c r="AM28" s="267"/>
      <c r="AN28" s="267"/>
      <c r="AO28" s="267"/>
    </row>
    <row r="29" spans="2:41" hidden="1" outlineLevel="1">
      <c r="B29" s="212" t="s">
        <v>338</v>
      </c>
      <c r="C29" s="252">
        <v>2073</v>
      </c>
      <c r="D29" s="252">
        <v>1488</v>
      </c>
      <c r="E29" s="252">
        <v>1510</v>
      </c>
      <c r="F29" s="252">
        <v>1384</v>
      </c>
      <c r="G29" s="252">
        <v>1150</v>
      </c>
      <c r="H29" s="252">
        <v>982</v>
      </c>
      <c r="I29" s="253">
        <v>1086</v>
      </c>
      <c r="K29" s="254">
        <f t="shared" si="42"/>
        <v>607.91788856304981</v>
      </c>
      <c r="L29" s="252">
        <f t="shared" si="43"/>
        <v>497.65886287625415</v>
      </c>
      <c r="M29" s="252">
        <f t="shared" si="44"/>
        <v>540.05722460658092</v>
      </c>
      <c r="N29" s="252">
        <f t="shared" si="45"/>
        <v>542.532340258722</v>
      </c>
      <c r="O29" s="252">
        <f t="shared" si="46"/>
        <v>426.39970337411938</v>
      </c>
      <c r="P29" s="252">
        <f t="shared" si="47"/>
        <v>349.59060163759341</v>
      </c>
      <c r="Q29" s="253">
        <f t="shared" si="48"/>
        <v>375.64856451054999</v>
      </c>
      <c r="S29" s="255">
        <f t="shared" si="49"/>
        <v>8.4665981878294199E-4</v>
      </c>
      <c r="T29" s="144">
        <f t="shared" si="41"/>
        <v>6.6761694401035881E-4</v>
      </c>
      <c r="U29" s="144">
        <f t="shared" si="41"/>
        <v>7.13606539093351E-4</v>
      </c>
      <c r="V29" s="144">
        <f t="shared" si="41"/>
        <v>6.747753471021958E-4</v>
      </c>
      <c r="W29" s="144">
        <f t="shared" si="41"/>
        <v>6.5052166180566706E-4</v>
      </c>
      <c r="X29" s="144">
        <f t="shared" si="41"/>
        <v>6.3847120605390326E-4</v>
      </c>
      <c r="Y29" s="257">
        <f t="shared" si="41"/>
        <v>7.6008902700205785E-4</v>
      </c>
      <c r="AA29" s="267"/>
      <c r="AB29" s="267"/>
      <c r="AC29" s="267"/>
      <c r="AD29" s="267"/>
      <c r="AE29" s="267"/>
      <c r="AF29" s="267"/>
      <c r="AG29" s="267"/>
      <c r="AI29" s="267"/>
      <c r="AJ29" s="267"/>
      <c r="AK29" s="267"/>
      <c r="AL29" s="267"/>
      <c r="AM29" s="267"/>
      <c r="AN29" s="267"/>
      <c r="AO29" s="267"/>
    </row>
    <row r="30" spans="2:41" hidden="1" outlineLevel="1">
      <c r="B30" s="212" t="s">
        <v>1709</v>
      </c>
      <c r="C30" s="252">
        <v>53386</v>
      </c>
      <c r="D30" s="252">
        <v>47050</v>
      </c>
      <c r="E30" s="252">
        <v>39835</v>
      </c>
      <c r="F30" s="252">
        <v>39467</v>
      </c>
      <c r="G30" s="252">
        <v>33670</v>
      </c>
      <c r="H30" s="252">
        <v>21938</v>
      </c>
      <c r="I30" s="253">
        <v>15806</v>
      </c>
      <c r="K30" s="254">
        <f t="shared" si="42"/>
        <v>15655.718475073314</v>
      </c>
      <c r="L30" s="252">
        <f t="shared" si="43"/>
        <v>15735.785953177256</v>
      </c>
      <c r="M30" s="252">
        <f t="shared" si="44"/>
        <v>14247.138769670959</v>
      </c>
      <c r="N30" s="252">
        <f t="shared" si="45"/>
        <v>15471.187769502156</v>
      </c>
      <c r="O30" s="252">
        <f t="shared" si="46"/>
        <v>12484.241750092695</v>
      </c>
      <c r="P30" s="252">
        <f t="shared" si="47"/>
        <v>7809.8967604129575</v>
      </c>
      <c r="Q30" s="253">
        <f t="shared" si="48"/>
        <v>5467.3123486682807</v>
      </c>
      <c r="S30" s="255">
        <f t="shared" si="49"/>
        <v>2.180404297421425E-2</v>
      </c>
      <c r="T30" s="144">
        <f t="shared" si="41"/>
        <v>2.110979651591894E-2</v>
      </c>
      <c r="U30" s="144">
        <f t="shared" si="41"/>
        <v>1.8825507605816975E-2</v>
      </c>
      <c r="V30" s="144">
        <f t="shared" si="41"/>
        <v>1.9242311144568182E-2</v>
      </c>
      <c r="W30" s="144">
        <f t="shared" si="41"/>
        <v>1.9046142915649399E-2</v>
      </c>
      <c r="X30" s="144">
        <f t="shared" si="41"/>
        <v>1.426352476416551E-2</v>
      </c>
      <c r="Y30" s="257">
        <f t="shared" si="41"/>
        <v>1.106258486261006E-2</v>
      </c>
      <c r="AA30" s="267"/>
      <c r="AB30" s="267"/>
      <c r="AC30" s="267"/>
      <c r="AD30" s="267"/>
      <c r="AE30" s="267"/>
      <c r="AF30" s="267"/>
      <c r="AG30" s="267"/>
      <c r="AI30" s="267"/>
      <c r="AJ30" s="267"/>
      <c r="AK30" s="267"/>
      <c r="AL30" s="267"/>
      <c r="AM30" s="267"/>
      <c r="AN30" s="267"/>
      <c r="AO30" s="267"/>
    </row>
    <row r="31" spans="2:41" hidden="1" outlineLevel="1">
      <c r="B31" s="212" t="s">
        <v>1710</v>
      </c>
      <c r="C31" s="252">
        <v>783</v>
      </c>
      <c r="D31" s="252">
        <v>47</v>
      </c>
      <c r="E31" s="252">
        <v>0</v>
      </c>
      <c r="F31" s="252">
        <v>0</v>
      </c>
      <c r="G31" s="252">
        <v>0</v>
      </c>
      <c r="H31" s="252"/>
      <c r="I31" s="253">
        <v>251</v>
      </c>
      <c r="K31" s="254">
        <f t="shared" si="42"/>
        <v>229.61876832844573</v>
      </c>
      <c r="L31" s="252">
        <f t="shared" si="43"/>
        <v>15.719063545150501</v>
      </c>
      <c r="M31" s="252">
        <f t="shared" si="44"/>
        <v>0</v>
      </c>
      <c r="N31" s="252">
        <f t="shared" si="45"/>
        <v>0</v>
      </c>
      <c r="O31" s="252">
        <f t="shared" si="46"/>
        <v>0</v>
      </c>
      <c r="P31" s="252">
        <f t="shared" si="47"/>
        <v>0</v>
      </c>
      <c r="Q31" s="253">
        <f t="shared" si="48"/>
        <v>86.821169145624353</v>
      </c>
      <c r="S31" s="255">
        <f t="shared" si="49"/>
        <v>3.1979480854174797E-4</v>
      </c>
      <c r="T31" s="144">
        <f t="shared" si="41"/>
        <v>2.1087363150864831E-5</v>
      </c>
      <c r="U31" s="144">
        <f t="shared" si="41"/>
        <v>0</v>
      </c>
      <c r="V31" s="144">
        <f t="shared" si="41"/>
        <v>0</v>
      </c>
      <c r="W31" s="144">
        <f t="shared" si="41"/>
        <v>0</v>
      </c>
      <c r="X31" s="144">
        <f t="shared" si="41"/>
        <v>0</v>
      </c>
      <c r="Y31" s="257">
        <f t="shared" si="41"/>
        <v>1.7567435154467451E-4</v>
      </c>
      <c r="AA31" s="267"/>
      <c r="AB31" s="267"/>
      <c r="AC31" s="267"/>
      <c r="AD31" s="267"/>
      <c r="AE31" s="267"/>
      <c r="AF31" s="267"/>
      <c r="AG31" s="267"/>
      <c r="AI31" s="267"/>
      <c r="AJ31" s="267"/>
      <c r="AK31" s="267"/>
      <c r="AL31" s="267"/>
      <c r="AM31" s="267"/>
      <c r="AN31" s="267"/>
      <c r="AO31" s="267"/>
    </row>
    <row r="32" spans="2:41" hidden="1" outlineLevel="1">
      <c r="B32" s="212" t="s">
        <v>339</v>
      </c>
      <c r="C32" s="252">
        <v>5635</v>
      </c>
      <c r="D32" s="252">
        <v>4657</v>
      </c>
      <c r="E32" s="252">
        <v>5049</v>
      </c>
      <c r="F32" s="252">
        <v>5735</v>
      </c>
      <c r="G32" s="252">
        <v>6341</v>
      </c>
      <c r="H32" s="252">
        <v>3268</v>
      </c>
      <c r="I32" s="253">
        <v>4134</v>
      </c>
      <c r="K32" s="254">
        <f t="shared" si="42"/>
        <v>1652.4926686217009</v>
      </c>
      <c r="L32" s="252">
        <f t="shared" si="43"/>
        <v>1557.5250836120401</v>
      </c>
      <c r="M32" s="252">
        <f t="shared" si="44"/>
        <v>1805.7939914163092</v>
      </c>
      <c r="N32" s="252">
        <f t="shared" si="45"/>
        <v>2248.1379851038805</v>
      </c>
      <c r="O32" s="252">
        <f t="shared" si="46"/>
        <v>2351.130886169818</v>
      </c>
      <c r="P32" s="252">
        <f t="shared" si="47"/>
        <v>1163.4033463866144</v>
      </c>
      <c r="Q32" s="253">
        <f t="shared" si="48"/>
        <v>1429.9550328606019</v>
      </c>
      <c r="S32" s="255">
        <f t="shared" si="49"/>
        <v>2.3014607230303322E-3</v>
      </c>
      <c r="T32" s="144">
        <f t="shared" si="41"/>
        <v>2.0894436211399471E-3</v>
      </c>
      <c r="U32" s="144">
        <f t="shared" si="41"/>
        <v>2.3860923283988934E-3</v>
      </c>
      <c r="V32" s="144">
        <f t="shared" si="41"/>
        <v>2.796124722276801E-3</v>
      </c>
      <c r="W32" s="144">
        <f t="shared" si="41"/>
        <v>3.5869198760954215E-3</v>
      </c>
      <c r="X32" s="144">
        <f t="shared" si="41"/>
        <v>2.1247697570103423E-3</v>
      </c>
      <c r="Y32" s="257">
        <f t="shared" si="41"/>
        <v>2.8933775668752368E-3</v>
      </c>
      <c r="AA32" s="267"/>
      <c r="AB32" s="267"/>
      <c r="AC32" s="267"/>
      <c r="AD32" s="267"/>
      <c r="AE32" s="267"/>
      <c r="AF32" s="267"/>
      <c r="AG32" s="267"/>
      <c r="AI32" s="267"/>
      <c r="AJ32" s="267"/>
      <c r="AK32" s="267"/>
      <c r="AL32" s="267"/>
      <c r="AM32" s="267"/>
      <c r="AN32" s="267"/>
      <c r="AO32" s="267"/>
    </row>
    <row r="33" spans="2:41" collapsed="1">
      <c r="B33" s="209" t="s">
        <v>341</v>
      </c>
      <c r="C33" s="220">
        <f t="shared" ref="C33:I33" si="50">SUM(C26:C32)*-1</f>
        <v>-496673</v>
      </c>
      <c r="D33" s="220">
        <f t="shared" si="50"/>
        <v>-423520</v>
      </c>
      <c r="E33" s="220">
        <f t="shared" si="50"/>
        <v>-411102</v>
      </c>
      <c r="F33" s="220">
        <f t="shared" si="50"/>
        <v>-370457</v>
      </c>
      <c r="G33" s="220">
        <f t="shared" si="50"/>
        <v>-302184</v>
      </c>
      <c r="H33" s="220">
        <f t="shared" si="50"/>
        <v>-253999</v>
      </c>
      <c r="I33" s="221">
        <f t="shared" si="50"/>
        <v>-235297</v>
      </c>
      <c r="J33" s="207"/>
      <c r="K33" s="219">
        <f t="shared" ref="K33:Q33" si="51">SUM(K26:K32)*-1</f>
        <v>-145651.9061583578</v>
      </c>
      <c r="L33" s="220">
        <f t="shared" si="51"/>
        <v>-141645.48494983278</v>
      </c>
      <c r="M33" s="220">
        <f t="shared" si="51"/>
        <v>-147032.18884120174</v>
      </c>
      <c r="N33" s="220">
        <f t="shared" si="51"/>
        <v>-145220.30576244611</v>
      </c>
      <c r="O33" s="220">
        <f t="shared" si="51"/>
        <v>-112044.49388209121</v>
      </c>
      <c r="P33" s="220">
        <f t="shared" si="51"/>
        <v>-90423.282306870766</v>
      </c>
      <c r="Q33" s="221">
        <f t="shared" si="51"/>
        <v>-81389.484607402279</v>
      </c>
      <c r="S33" s="255">
        <f t="shared" si="49"/>
        <v>-0.20285242266009659</v>
      </c>
      <c r="T33" s="144">
        <f t="shared" si="41"/>
        <v>-0.19001957535434624</v>
      </c>
      <c r="U33" s="144">
        <f t="shared" si="41"/>
        <v>-0.19428150691016874</v>
      </c>
      <c r="V33" s="144">
        <f t="shared" si="41"/>
        <v>-0.18061795575248424</v>
      </c>
      <c r="W33" s="144">
        <f t="shared" si="41"/>
        <v>-0.17093672856615974</v>
      </c>
      <c r="X33" s="144">
        <f t="shared" si="41"/>
        <v>-0.16514363326526008</v>
      </c>
      <c r="Y33" s="257">
        <f t="shared" si="41"/>
        <v>-0.1646838561570011</v>
      </c>
      <c r="AA33" s="267"/>
      <c r="AB33" s="267"/>
      <c r="AC33" s="267"/>
      <c r="AD33" s="267"/>
      <c r="AE33" s="267"/>
      <c r="AF33" s="267"/>
      <c r="AG33" s="267"/>
      <c r="AI33" s="267"/>
      <c r="AJ33" s="267"/>
      <c r="AK33" s="267"/>
      <c r="AL33" s="267"/>
      <c r="AM33" s="267"/>
      <c r="AN33" s="267"/>
      <c r="AO33" s="267"/>
    </row>
    <row r="34" spans="2:41" hidden="1" outlineLevel="1">
      <c r="B34" s="209" t="s">
        <v>344</v>
      </c>
      <c r="C34" s="220"/>
      <c r="D34" s="220"/>
      <c r="E34" s="220"/>
      <c r="F34" s="220"/>
      <c r="G34" s="220"/>
      <c r="H34" s="220"/>
      <c r="I34" s="221"/>
      <c r="J34" s="207"/>
      <c r="K34" s="219"/>
      <c r="L34" s="220"/>
      <c r="M34" s="220"/>
      <c r="N34" s="220"/>
      <c r="O34" s="220"/>
      <c r="P34" s="220"/>
      <c r="Q34" s="221"/>
      <c r="S34" s="265" t="s">
        <v>345</v>
      </c>
      <c r="T34" s="144"/>
      <c r="U34" s="144"/>
      <c r="V34" s="144"/>
      <c r="W34" s="144"/>
      <c r="X34" s="144"/>
      <c r="Y34" s="257"/>
      <c r="AA34" s="267" t="s">
        <v>334</v>
      </c>
      <c r="AB34" s="267"/>
      <c r="AC34" s="267"/>
      <c r="AD34" s="267"/>
      <c r="AE34" s="267"/>
      <c r="AF34" s="267"/>
      <c r="AG34" s="267"/>
      <c r="AI34" s="267"/>
      <c r="AJ34" s="267"/>
      <c r="AK34" s="267"/>
      <c r="AL34" s="267"/>
      <c r="AM34" s="267"/>
      <c r="AN34" s="267"/>
      <c r="AO34" s="267"/>
    </row>
    <row r="35" spans="2:41" hidden="1" outlineLevel="1">
      <c r="B35" s="212" t="s">
        <v>336</v>
      </c>
      <c r="C35" s="252">
        <v>54245</v>
      </c>
      <c r="D35" s="252">
        <v>49918</v>
      </c>
      <c r="E35" s="252">
        <v>51714</v>
      </c>
      <c r="F35" s="252">
        <v>44068</v>
      </c>
      <c r="G35" s="252">
        <v>31978</v>
      </c>
      <c r="H35" s="252">
        <v>26744</v>
      </c>
      <c r="I35" s="253">
        <v>27743</v>
      </c>
      <c r="K35" s="254">
        <f t="shared" ref="K35" si="52">C35/K$3</f>
        <v>15907.624633431084</v>
      </c>
      <c r="L35" s="252">
        <f t="shared" ref="L35:L41" si="53">D35/L$3</f>
        <v>16694.983277591971</v>
      </c>
      <c r="M35" s="252">
        <f t="shared" ref="M35:M41" si="54">E35/M$3</f>
        <v>18495.708154506439</v>
      </c>
      <c r="N35" s="252">
        <f t="shared" ref="N35:N41" si="55">F35/N$3</f>
        <v>17274.794198353586</v>
      </c>
      <c r="O35" s="252">
        <f t="shared" ref="O35:O41" si="56">G35/O$3</f>
        <v>11856.878012606599</v>
      </c>
      <c r="P35" s="252">
        <f t="shared" ref="P35:P41" si="57">H35/P$3</f>
        <v>9520.8259166963326</v>
      </c>
      <c r="Q35" s="253">
        <f t="shared" ref="Q35:Q41" si="58">I35/Q$3</f>
        <v>9596.3334486336898</v>
      </c>
      <c r="S35" s="255">
        <f t="shared" si="49"/>
        <v>2.2154877891886485E-2</v>
      </c>
      <c r="T35" s="144">
        <f t="shared" si="41"/>
        <v>2.2396574335422775E-2</v>
      </c>
      <c r="U35" s="144">
        <f t="shared" si="41"/>
        <v>2.443936990905533E-2</v>
      </c>
      <c r="V35" s="144">
        <f t="shared" si="41"/>
        <v>2.1485549130129743E-2</v>
      </c>
      <c r="W35" s="144">
        <f t="shared" si="41"/>
        <v>1.808902756627967E-2</v>
      </c>
      <c r="X35" s="144">
        <f t="shared" si="41"/>
        <v>1.7388262662632985E-2</v>
      </c>
      <c r="Y35" s="257">
        <f t="shared" si="41"/>
        <v>1.9417265079298425E-2</v>
      </c>
      <c r="AA35" s="267"/>
      <c r="AB35" s="267"/>
      <c r="AC35" s="267"/>
      <c r="AD35" s="267"/>
      <c r="AE35" s="267"/>
      <c r="AF35" s="267"/>
      <c r="AG35" s="267"/>
      <c r="AI35" s="267"/>
      <c r="AJ35" s="267"/>
      <c r="AK35" s="267"/>
      <c r="AL35" s="267"/>
      <c r="AM35" s="267"/>
      <c r="AN35" s="267"/>
      <c r="AO35" s="267"/>
    </row>
    <row r="36" spans="2:41" hidden="1" outlineLevel="1">
      <c r="B36" s="212" t="s">
        <v>337</v>
      </c>
      <c r="C36" s="252">
        <v>42842</v>
      </c>
      <c r="D36" s="252">
        <v>41451</v>
      </c>
      <c r="E36" s="252">
        <v>42847</v>
      </c>
      <c r="F36" s="252">
        <v>38591</v>
      </c>
      <c r="G36" s="252">
        <v>26908</v>
      </c>
      <c r="H36" s="252">
        <v>30425</v>
      </c>
      <c r="I36" s="253">
        <v>25060</v>
      </c>
      <c r="K36" s="254">
        <f t="shared" ref="K36:K41" si="59">C36/K$3</f>
        <v>12563.636363636364</v>
      </c>
      <c r="L36" s="252">
        <f t="shared" si="53"/>
        <v>13863.210702341135</v>
      </c>
      <c r="M36" s="252">
        <f t="shared" si="54"/>
        <v>15324.39198855508</v>
      </c>
      <c r="N36" s="252">
        <f t="shared" si="55"/>
        <v>15127.793022344178</v>
      </c>
      <c r="O36" s="252">
        <f t="shared" si="56"/>
        <v>9977.0114942528726</v>
      </c>
      <c r="P36" s="252">
        <f t="shared" si="57"/>
        <v>10831.2566749733</v>
      </c>
      <c r="Q36" s="253">
        <f t="shared" si="58"/>
        <v>8668.2808716707023</v>
      </c>
      <c r="S36" s="255">
        <f t="shared" si="49"/>
        <v>1.749763625484747E-2</v>
      </c>
      <c r="T36" s="144">
        <f t="shared" si="41"/>
        <v>1.8597708297159531E-2</v>
      </c>
      <c r="U36" s="144">
        <f t="shared" si="41"/>
        <v>2.024893998710782E-2</v>
      </c>
      <c r="V36" s="144">
        <f t="shared" si="41"/>
        <v>1.8815213453772281E-2</v>
      </c>
      <c r="W36" s="144">
        <f t="shared" si="41"/>
        <v>1.5221075544232077E-2</v>
      </c>
      <c r="X36" s="144">
        <f t="shared" si="41"/>
        <v>1.9781554423818747E-2</v>
      </c>
      <c r="Y36" s="257">
        <f t="shared" si="41"/>
        <v>1.7539439241870691E-2</v>
      </c>
      <c r="AA36" s="267"/>
      <c r="AB36" s="267"/>
      <c r="AC36" s="267"/>
      <c r="AD36" s="267"/>
      <c r="AE36" s="267"/>
      <c r="AF36" s="267"/>
      <c r="AG36" s="267"/>
      <c r="AI36" s="267"/>
      <c r="AJ36" s="267"/>
      <c r="AK36" s="267"/>
      <c r="AL36" s="267"/>
      <c r="AM36" s="267"/>
      <c r="AN36" s="267"/>
      <c r="AO36" s="267"/>
    </row>
    <row r="37" spans="2:41" hidden="1" outlineLevel="1">
      <c r="B37" s="212" t="s">
        <v>343</v>
      </c>
      <c r="C37" s="252"/>
      <c r="D37" s="252">
        <v>19</v>
      </c>
      <c r="E37" s="252">
        <v>0</v>
      </c>
      <c r="F37" s="252">
        <v>0</v>
      </c>
      <c r="G37" s="252">
        <v>0</v>
      </c>
      <c r="H37" s="252"/>
      <c r="I37" s="253"/>
      <c r="K37" s="254">
        <f t="shared" si="59"/>
        <v>0</v>
      </c>
      <c r="L37" s="252">
        <f t="shared" si="53"/>
        <v>6.3545150501672234</v>
      </c>
      <c r="M37" s="252">
        <f t="shared" si="54"/>
        <v>0</v>
      </c>
      <c r="N37" s="252">
        <f t="shared" si="55"/>
        <v>0</v>
      </c>
      <c r="O37" s="252">
        <f t="shared" si="56"/>
        <v>0</v>
      </c>
      <c r="P37" s="252">
        <f t="shared" si="57"/>
        <v>0</v>
      </c>
      <c r="Q37" s="253">
        <f t="shared" si="58"/>
        <v>0</v>
      </c>
      <c r="S37" s="255">
        <f t="shared" si="49"/>
        <v>0</v>
      </c>
      <c r="T37" s="144">
        <f t="shared" si="41"/>
        <v>8.524678720562378E-6</v>
      </c>
      <c r="U37" s="144">
        <f t="shared" si="41"/>
        <v>0</v>
      </c>
      <c r="V37" s="144">
        <f t="shared" si="41"/>
        <v>0</v>
      </c>
      <c r="W37" s="144">
        <f t="shared" si="41"/>
        <v>0</v>
      </c>
      <c r="X37" s="144">
        <f t="shared" si="41"/>
        <v>0</v>
      </c>
      <c r="Y37" s="257">
        <f t="shared" si="41"/>
        <v>0</v>
      </c>
      <c r="AA37" s="267"/>
      <c r="AB37" s="267"/>
      <c r="AC37" s="267"/>
      <c r="AD37" s="267"/>
      <c r="AE37" s="267"/>
      <c r="AF37" s="267"/>
      <c r="AG37" s="267"/>
      <c r="AI37" s="267"/>
      <c r="AJ37" s="267"/>
      <c r="AK37" s="267"/>
      <c r="AL37" s="267"/>
      <c r="AM37" s="267"/>
      <c r="AN37" s="267"/>
      <c r="AO37" s="267"/>
    </row>
    <row r="38" spans="2:41" hidden="1" outlineLevel="1">
      <c r="B38" s="212" t="s">
        <v>338</v>
      </c>
      <c r="C38" s="252">
        <v>730</v>
      </c>
      <c r="D38" s="252">
        <v>976</v>
      </c>
      <c r="E38" s="252">
        <v>374</v>
      </c>
      <c r="F38" s="252">
        <v>317</v>
      </c>
      <c r="G38" s="252">
        <v>325</v>
      </c>
      <c r="H38" s="252">
        <v>360</v>
      </c>
      <c r="I38" s="253">
        <v>467</v>
      </c>
      <c r="K38" s="254">
        <f t="shared" si="59"/>
        <v>214.07624633431084</v>
      </c>
      <c r="L38" s="252">
        <f t="shared" si="53"/>
        <v>326.42140468227421</v>
      </c>
      <c r="M38" s="252">
        <f t="shared" si="54"/>
        <v>133.76251788268956</v>
      </c>
      <c r="N38" s="252">
        <f t="shared" si="55"/>
        <v>124.26499411995295</v>
      </c>
      <c r="O38" s="252">
        <f t="shared" si="56"/>
        <v>120.50426399703373</v>
      </c>
      <c r="P38" s="252">
        <f t="shared" si="57"/>
        <v>128.15948736205056</v>
      </c>
      <c r="Q38" s="253">
        <f t="shared" si="58"/>
        <v>161.53580076098237</v>
      </c>
      <c r="S38" s="255">
        <f t="shared" si="49"/>
        <v>2.9814841664811752E-4</v>
      </c>
      <c r="T38" s="144">
        <f t="shared" si="41"/>
        <v>4.3789928585625685E-4</v>
      </c>
      <c r="U38" s="144">
        <f t="shared" si="41"/>
        <v>1.7674757988139951E-4</v>
      </c>
      <c r="V38" s="144">
        <f t="shared" si="41"/>
        <v>1.545547579706619E-4</v>
      </c>
      <c r="W38" s="144">
        <f t="shared" si="41"/>
        <v>1.8384307833638417E-4</v>
      </c>
      <c r="X38" s="144">
        <f t="shared" si="41"/>
        <v>2.340627639301479E-4</v>
      </c>
      <c r="Y38" s="257">
        <f t="shared" si="41"/>
        <v>3.2685227956718329E-4</v>
      </c>
      <c r="AA38" s="267"/>
      <c r="AB38" s="267"/>
      <c r="AC38" s="267"/>
      <c r="AD38" s="267"/>
      <c r="AE38" s="267"/>
      <c r="AF38" s="267"/>
      <c r="AG38" s="267"/>
      <c r="AI38" s="267"/>
      <c r="AJ38" s="267"/>
      <c r="AK38" s="267"/>
      <c r="AL38" s="267"/>
      <c r="AM38" s="267"/>
      <c r="AN38" s="267"/>
      <c r="AO38" s="267"/>
    </row>
    <row r="39" spans="2:41" hidden="1" outlineLevel="1">
      <c r="B39" s="212" t="s">
        <v>1709</v>
      </c>
      <c r="C39" s="252">
        <v>6831</v>
      </c>
      <c r="D39" s="252">
        <v>5633</v>
      </c>
      <c r="E39" s="252">
        <v>3664</v>
      </c>
      <c r="F39" s="252">
        <v>3251</v>
      </c>
      <c r="G39" s="252">
        <v>3569</v>
      </c>
      <c r="H39" s="252">
        <v>3939</v>
      </c>
      <c r="I39" s="253">
        <v>4294</v>
      </c>
      <c r="K39" s="254">
        <f t="shared" si="59"/>
        <v>2003.2258064516129</v>
      </c>
      <c r="L39" s="252">
        <f t="shared" si="53"/>
        <v>1883.9464882943143</v>
      </c>
      <c r="M39" s="252">
        <f t="shared" si="54"/>
        <v>1310.4434907010016</v>
      </c>
      <c r="N39" s="252">
        <f t="shared" si="55"/>
        <v>1274.4021952175617</v>
      </c>
      <c r="O39" s="252">
        <f t="shared" si="56"/>
        <v>1323.3222098628105</v>
      </c>
      <c r="P39" s="252">
        <f t="shared" si="57"/>
        <v>1402.2783908864365</v>
      </c>
      <c r="Q39" s="253">
        <f t="shared" si="58"/>
        <v>1485.2992044275338</v>
      </c>
      <c r="S39" s="255">
        <f t="shared" si="49"/>
        <v>2.7899340193469741E-3</v>
      </c>
      <c r="T39" s="144">
        <f t="shared" si="41"/>
        <v>2.527342906996204E-3</v>
      </c>
      <c r="U39" s="144">
        <f t="shared" si="41"/>
        <v>1.7315591783033364E-3</v>
      </c>
      <c r="V39" s="144">
        <f t="shared" si="41"/>
        <v>1.5850394894719932E-3</v>
      </c>
      <c r="W39" s="144">
        <f t="shared" si="41"/>
        <v>2.0188798356386311E-3</v>
      </c>
      <c r="X39" s="144">
        <f t="shared" si="41"/>
        <v>2.561036742002368E-3</v>
      </c>
      <c r="Y39" s="257">
        <f t="shared" si="41"/>
        <v>3.0053612172622804E-3</v>
      </c>
      <c r="AA39" s="267"/>
      <c r="AB39" s="267"/>
      <c r="AC39" s="267"/>
      <c r="AD39" s="267"/>
      <c r="AE39" s="267"/>
      <c r="AF39" s="267"/>
      <c r="AG39" s="267"/>
      <c r="AI39" s="267"/>
      <c r="AJ39" s="267"/>
      <c r="AK39" s="267"/>
      <c r="AL39" s="267"/>
      <c r="AM39" s="267"/>
      <c r="AN39" s="267"/>
      <c r="AO39" s="267"/>
    </row>
    <row r="40" spans="2:41" hidden="1" outlineLevel="1">
      <c r="B40" s="212" t="s">
        <v>1710</v>
      </c>
      <c r="C40" s="252">
        <v>2717</v>
      </c>
      <c r="D40" s="252">
        <v>4982</v>
      </c>
      <c r="E40" s="252">
        <v>2516</v>
      </c>
      <c r="F40" s="252">
        <v>599</v>
      </c>
      <c r="G40" s="252">
        <v>922</v>
      </c>
      <c r="H40" s="252">
        <v>1820</v>
      </c>
      <c r="I40" s="253">
        <v>1303</v>
      </c>
      <c r="K40" s="254">
        <f t="shared" si="59"/>
        <v>796.77419354838707</v>
      </c>
      <c r="L40" s="252">
        <f t="shared" si="53"/>
        <v>1666.2207357859531</v>
      </c>
      <c r="M40" s="252">
        <f t="shared" si="54"/>
        <v>899.85693848354799</v>
      </c>
      <c r="N40" s="252">
        <f t="shared" si="55"/>
        <v>234.80987847902782</v>
      </c>
      <c r="O40" s="252">
        <f t="shared" si="56"/>
        <v>341.8613274008157</v>
      </c>
      <c r="P40" s="252">
        <f t="shared" si="57"/>
        <v>647.9174083303667</v>
      </c>
      <c r="Q40" s="253">
        <f t="shared" si="58"/>
        <v>450.70909719820133</v>
      </c>
      <c r="S40" s="255">
        <f t="shared" si="49"/>
        <v>1.10968390141498E-3</v>
      </c>
      <c r="T40" s="144">
        <f t="shared" si="41"/>
        <v>2.235260493991672E-3</v>
      </c>
      <c r="U40" s="144">
        <f t="shared" si="41"/>
        <v>1.1890291737475967E-3</v>
      </c>
      <c r="V40" s="144">
        <f t="shared" si="41"/>
        <v>2.9204511048714976E-4</v>
      </c>
      <c r="W40" s="144">
        <f t="shared" si="41"/>
        <v>5.2154867146506523E-4</v>
      </c>
      <c r="X40" s="144">
        <f t="shared" si="41"/>
        <v>1.1833173065357477E-3</v>
      </c>
      <c r="Y40" s="257">
        <f t="shared" si="41"/>
        <v>9.1196685283948561E-4</v>
      </c>
      <c r="AA40" s="267"/>
      <c r="AB40" s="267"/>
      <c r="AC40" s="267"/>
      <c r="AD40" s="267"/>
      <c r="AE40" s="267"/>
      <c r="AF40" s="267"/>
      <c r="AG40" s="267"/>
      <c r="AI40" s="267"/>
      <c r="AJ40" s="267"/>
      <c r="AK40" s="267"/>
      <c r="AL40" s="267"/>
      <c r="AM40" s="267"/>
      <c r="AN40" s="267"/>
      <c r="AO40" s="267"/>
    </row>
    <row r="41" spans="2:41" hidden="1" outlineLevel="1">
      <c r="B41" s="212" t="s">
        <v>339</v>
      </c>
      <c r="C41" s="252">
        <v>2724</v>
      </c>
      <c r="D41" s="252">
        <v>2072</v>
      </c>
      <c r="E41" s="252">
        <v>2794</v>
      </c>
      <c r="F41" s="252">
        <v>2301</v>
      </c>
      <c r="G41" s="252">
        <v>1772</v>
      </c>
      <c r="H41" s="252">
        <v>1694</v>
      </c>
      <c r="I41" s="253">
        <v>1875</v>
      </c>
      <c r="K41" s="254">
        <f t="shared" si="59"/>
        <v>798.82697947214069</v>
      </c>
      <c r="L41" s="252">
        <f t="shared" si="53"/>
        <v>692.97658862876244</v>
      </c>
      <c r="M41" s="252">
        <f t="shared" si="54"/>
        <v>999.28469241773973</v>
      </c>
      <c r="N41" s="252">
        <f t="shared" si="55"/>
        <v>901.99921599372794</v>
      </c>
      <c r="O41" s="252">
        <f t="shared" si="56"/>
        <v>657.02632554690399</v>
      </c>
      <c r="P41" s="252">
        <f t="shared" si="57"/>
        <v>603.06158775364895</v>
      </c>
      <c r="Q41" s="253">
        <f t="shared" si="58"/>
        <v>648.56451054998274</v>
      </c>
      <c r="S41" s="255">
        <f t="shared" si="49"/>
        <v>1.1125428588348934E-3</v>
      </c>
      <c r="T41" s="144">
        <f t="shared" si="41"/>
        <v>9.296386478423813E-4</v>
      </c>
      <c r="U41" s="144">
        <f t="shared" si="41"/>
        <v>1.3204083908786904E-3</v>
      </c>
      <c r="V41" s="144">
        <f t="shared" si="41"/>
        <v>1.1218627700015553E-3</v>
      </c>
      <c r="W41" s="144">
        <f t="shared" si="41"/>
        <v>1.0023690301909931E-3</v>
      </c>
      <c r="X41" s="144">
        <f t="shared" si="41"/>
        <v>1.1013953391601958E-3</v>
      </c>
      <c r="Y41" s="257">
        <f t="shared" si="41"/>
        <v>1.3123084029731662E-3</v>
      </c>
      <c r="AA41" s="267"/>
      <c r="AB41" s="267"/>
      <c r="AC41" s="267"/>
      <c r="AD41" s="267"/>
      <c r="AE41" s="267"/>
      <c r="AF41" s="267"/>
      <c r="AG41" s="267"/>
      <c r="AI41" s="267"/>
      <c r="AJ41" s="267"/>
      <c r="AK41" s="267"/>
      <c r="AL41" s="267"/>
      <c r="AM41" s="267"/>
      <c r="AN41" s="267"/>
      <c r="AO41" s="267"/>
    </row>
    <row r="42" spans="2:41" collapsed="1">
      <c r="B42" s="209" t="s">
        <v>344</v>
      </c>
      <c r="C42" s="220">
        <f t="shared" ref="C42:I42" si="60">SUM(C35:C41)*-1</f>
        <v>-110089</v>
      </c>
      <c r="D42" s="220">
        <f t="shared" si="60"/>
        <v>-105051</v>
      </c>
      <c r="E42" s="220">
        <f t="shared" si="60"/>
        <v>-103909</v>
      </c>
      <c r="F42" s="220">
        <f t="shared" si="60"/>
        <v>-89127</v>
      </c>
      <c r="G42" s="220">
        <f t="shared" si="60"/>
        <v>-65474</v>
      </c>
      <c r="H42" s="220">
        <f t="shared" si="60"/>
        <v>-64982</v>
      </c>
      <c r="I42" s="221">
        <f t="shared" si="60"/>
        <v>-60742</v>
      </c>
      <c r="J42" s="207"/>
      <c r="K42" s="219">
        <f t="shared" ref="K42:Q42" si="61">SUM(K35:K41)*-1</f>
        <v>-32284.1642228739</v>
      </c>
      <c r="L42" s="220">
        <f t="shared" si="61"/>
        <v>-35134.113712374579</v>
      </c>
      <c r="M42" s="220">
        <f t="shared" si="61"/>
        <v>-37163.447782546507</v>
      </c>
      <c r="N42" s="220">
        <f t="shared" si="61"/>
        <v>-34938.063504508034</v>
      </c>
      <c r="O42" s="220">
        <f t="shared" si="61"/>
        <v>-24276.603633667037</v>
      </c>
      <c r="P42" s="220">
        <f t="shared" si="61"/>
        <v>-23133.499466002133</v>
      </c>
      <c r="Q42" s="221">
        <f t="shared" si="61"/>
        <v>-21010.72293324109</v>
      </c>
      <c r="S42" s="255">
        <f t="shared" si="49"/>
        <v>-4.4962823342978922E-2</v>
      </c>
      <c r="T42" s="144">
        <f t="shared" si="49"/>
        <v>-4.7132948645989388E-2</v>
      </c>
      <c r="U42" s="144">
        <f t="shared" si="49"/>
        <v>-4.9106054218974182E-2</v>
      </c>
      <c r="V42" s="144">
        <f t="shared" si="49"/>
        <v>-4.3454264711833383E-2</v>
      </c>
      <c r="W42" s="144">
        <f t="shared" si="49"/>
        <v>-3.7036743726142823E-2</v>
      </c>
      <c r="X42" s="144">
        <f t="shared" si="49"/>
        <v>-4.2249629238080184E-2</v>
      </c>
      <c r="Y42" s="257">
        <f t="shared" si="49"/>
        <v>-4.2513193073811226E-2</v>
      </c>
      <c r="AA42" s="267"/>
      <c r="AB42" s="267"/>
      <c r="AC42" s="267"/>
      <c r="AD42" s="267"/>
      <c r="AE42" s="267"/>
      <c r="AF42" s="267"/>
      <c r="AG42" s="267"/>
      <c r="AI42" s="267"/>
      <c r="AJ42" s="267"/>
      <c r="AK42" s="267"/>
      <c r="AL42" s="267"/>
      <c r="AM42" s="267"/>
      <c r="AN42" s="267"/>
      <c r="AO42" s="267"/>
    </row>
    <row r="43" spans="2:41" hidden="1" outlineLevel="1">
      <c r="B43" s="209" t="s">
        <v>67</v>
      </c>
      <c r="C43" s="220"/>
      <c r="D43" s="220"/>
      <c r="E43" s="220"/>
      <c r="F43" s="220"/>
      <c r="G43" s="220"/>
      <c r="H43" s="220"/>
      <c r="I43" s="221"/>
      <c r="J43" s="207"/>
      <c r="K43" s="219"/>
      <c r="L43" s="220"/>
      <c r="M43" s="220"/>
      <c r="N43" s="220"/>
      <c r="O43" s="220"/>
      <c r="P43" s="220"/>
      <c r="Q43" s="221"/>
      <c r="S43" s="265" t="s">
        <v>346</v>
      </c>
      <c r="T43" s="144"/>
      <c r="U43" s="144"/>
      <c r="V43" s="144"/>
      <c r="W43" s="144"/>
      <c r="X43" s="144"/>
      <c r="Y43" s="257"/>
      <c r="AA43" s="267" t="s">
        <v>334</v>
      </c>
      <c r="AB43" s="267"/>
      <c r="AC43" s="267"/>
      <c r="AD43" s="267"/>
      <c r="AE43" s="267"/>
      <c r="AF43" s="267"/>
      <c r="AG43" s="267"/>
      <c r="AI43" s="267"/>
      <c r="AJ43" s="267"/>
      <c r="AK43" s="267"/>
      <c r="AL43" s="267"/>
      <c r="AM43" s="267"/>
      <c r="AN43" s="267"/>
      <c r="AO43" s="267"/>
    </row>
    <row r="44" spans="2:41" hidden="1" outlineLevel="1">
      <c r="B44" s="212" t="s">
        <v>347</v>
      </c>
      <c r="C44" s="252">
        <v>3889</v>
      </c>
      <c r="D44" s="274">
        <v>10804</v>
      </c>
      <c r="E44" s="252">
        <v>35812</v>
      </c>
      <c r="F44" s="252">
        <v>25604</v>
      </c>
      <c r="G44" s="252">
        <v>26572</v>
      </c>
      <c r="H44" s="252">
        <v>34641</v>
      </c>
      <c r="I44" s="253">
        <v>23923</v>
      </c>
      <c r="K44" s="254">
        <f t="shared" ref="K44" si="62">C44/K$3</f>
        <v>1140.4692082111437</v>
      </c>
      <c r="L44" s="252">
        <f t="shared" ref="L44:L50" si="63">D44/L$3</f>
        <v>3613.3779264214045</v>
      </c>
      <c r="M44" s="252">
        <f t="shared" ref="M44:M50" si="64">E44/M$3</f>
        <v>12808.297567954221</v>
      </c>
      <c r="N44" s="252">
        <f t="shared" ref="N44:N50" si="65">F44/N$3</f>
        <v>10036.848294786358</v>
      </c>
      <c r="O44" s="252">
        <f t="shared" ref="O44:O50" si="66">G44/O$3</f>
        <v>9852.4286243974784</v>
      </c>
      <c r="P44" s="252">
        <f t="shared" ref="P44:P50" si="67">H44/P$3</f>
        <v>12332.146671413313</v>
      </c>
      <c r="Q44" s="253">
        <f t="shared" ref="Q44:Q50" si="68">I44/Q$3</f>
        <v>8274.9913524731928</v>
      </c>
      <c r="S44" s="255">
        <f t="shared" ref="S44:Y61" si="69">+K44/K$11</f>
        <v>1.5883550580062043E-3</v>
      </c>
      <c r="T44" s="144">
        <f t="shared" si="69"/>
        <v>4.8474015208924172E-3</v>
      </c>
      <c r="U44" s="144">
        <f t="shared" si="69"/>
        <v>1.6924289654311975E-2</v>
      </c>
      <c r="V44" s="144">
        <f t="shared" si="69"/>
        <v>1.2483343921390623E-2</v>
      </c>
      <c r="W44" s="144">
        <f t="shared" si="69"/>
        <v>1.503101008478277E-2</v>
      </c>
      <c r="X44" s="144">
        <f t="shared" si="69"/>
        <v>2.2522689459178478E-2</v>
      </c>
      <c r="Y44" s="257">
        <f t="shared" si="69"/>
        <v>1.6743655426307763E-2</v>
      </c>
      <c r="AA44" s="267"/>
      <c r="AB44" s="267"/>
      <c r="AC44" s="267"/>
      <c r="AD44" s="267"/>
      <c r="AE44" s="267"/>
      <c r="AF44" s="267"/>
      <c r="AG44" s="267"/>
      <c r="AI44" s="267"/>
      <c r="AJ44" s="267"/>
      <c r="AK44" s="267"/>
      <c r="AL44" s="267"/>
      <c r="AM44" s="267"/>
      <c r="AN44" s="267"/>
      <c r="AO44" s="267"/>
    </row>
    <row r="45" spans="2:41" hidden="1" outlineLevel="1">
      <c r="B45" s="212" t="s">
        <v>348</v>
      </c>
      <c r="C45" s="252">
        <f>9306+34363+17381</f>
        <v>61050</v>
      </c>
      <c r="D45" s="274">
        <v>35506</v>
      </c>
      <c r="E45" s="252">
        <v>50810</v>
      </c>
      <c r="F45" s="252">
        <v>38365</v>
      </c>
      <c r="G45" s="252">
        <v>27838</v>
      </c>
      <c r="H45" s="252">
        <v>10529</v>
      </c>
      <c r="I45" s="253">
        <v>26855</v>
      </c>
      <c r="K45" s="254">
        <f t="shared" ref="K45:K50" si="70">C45/K$3</f>
        <v>17903.225806451614</v>
      </c>
      <c r="L45" s="252">
        <f t="shared" si="63"/>
        <v>11874.916387959865</v>
      </c>
      <c r="M45" s="252">
        <f t="shared" si="64"/>
        <v>18172.38912732475</v>
      </c>
      <c r="N45" s="252">
        <f t="shared" si="65"/>
        <v>15039.200313602509</v>
      </c>
      <c r="O45" s="252">
        <f t="shared" si="66"/>
        <v>10321.839080459769</v>
      </c>
      <c r="P45" s="252">
        <f t="shared" si="67"/>
        <v>3748.3090067639728</v>
      </c>
      <c r="Q45" s="253">
        <f t="shared" si="68"/>
        <v>9289.1732964372186</v>
      </c>
      <c r="S45" s="255">
        <f t="shared" si="69"/>
        <v>2.4934192926530929E-2</v>
      </c>
      <c r="T45" s="144">
        <f t="shared" si="69"/>
        <v>1.5930381192225673E-2</v>
      </c>
      <c r="U45" s="144">
        <f t="shared" si="69"/>
        <v>2.4012151159823282E-2</v>
      </c>
      <c r="V45" s="144">
        <f t="shared" si="69"/>
        <v>1.8705026149982474E-2</v>
      </c>
      <c r="W45" s="144">
        <f t="shared" si="69"/>
        <v>1.574714958377927E-2</v>
      </c>
      <c r="X45" s="144">
        <f t="shared" si="69"/>
        <v>6.8456856706125748E-3</v>
      </c>
      <c r="Y45" s="257">
        <f t="shared" si="69"/>
        <v>1.8795755819650335E-2</v>
      </c>
      <c r="AA45" s="267"/>
      <c r="AB45" s="267"/>
      <c r="AC45" s="267"/>
      <c r="AD45" s="267"/>
      <c r="AE45" s="267"/>
      <c r="AF45" s="267"/>
      <c r="AG45" s="267"/>
      <c r="AI45" s="267"/>
      <c r="AJ45" s="267"/>
      <c r="AK45" s="267"/>
      <c r="AL45" s="267"/>
      <c r="AM45" s="267"/>
      <c r="AN45" s="267"/>
      <c r="AO45" s="267"/>
    </row>
    <row r="46" spans="2:41" hidden="1" outlineLevel="1">
      <c r="B46" s="212" t="s">
        <v>349</v>
      </c>
      <c r="C46" s="252">
        <v>16914</v>
      </c>
      <c r="D46" s="274"/>
      <c r="E46" s="252"/>
      <c r="F46" s="252"/>
      <c r="G46" s="252"/>
      <c r="H46" s="252">
        <v>0</v>
      </c>
      <c r="I46" s="253">
        <v>1736</v>
      </c>
      <c r="K46" s="254">
        <f t="shared" si="70"/>
        <v>4960.1173020527858</v>
      </c>
      <c r="L46" s="252">
        <f t="shared" si="63"/>
        <v>0</v>
      </c>
      <c r="M46" s="252">
        <f t="shared" si="64"/>
        <v>0</v>
      </c>
      <c r="N46" s="252">
        <f t="shared" si="65"/>
        <v>0</v>
      </c>
      <c r="O46" s="252">
        <f t="shared" si="66"/>
        <v>0</v>
      </c>
      <c r="P46" s="252">
        <f t="shared" si="67"/>
        <v>0</v>
      </c>
      <c r="Q46" s="253">
        <f t="shared" si="68"/>
        <v>600.48426150121065</v>
      </c>
      <c r="S46" s="255">
        <f t="shared" si="69"/>
        <v>6.9080579714880276E-3</v>
      </c>
      <c r="T46" s="144">
        <f t="shared" si="69"/>
        <v>0</v>
      </c>
      <c r="U46" s="144">
        <f t="shared" si="69"/>
        <v>0</v>
      </c>
      <c r="V46" s="144">
        <f t="shared" si="69"/>
        <v>0</v>
      </c>
      <c r="W46" s="144">
        <f t="shared" si="69"/>
        <v>0</v>
      </c>
      <c r="X46" s="144">
        <f t="shared" si="69"/>
        <v>0</v>
      </c>
      <c r="Y46" s="257">
        <f t="shared" si="69"/>
        <v>1.2150226066994221E-3</v>
      </c>
      <c r="AA46" s="267"/>
      <c r="AB46" s="267"/>
      <c r="AC46" s="267"/>
      <c r="AD46" s="267"/>
      <c r="AE46" s="267"/>
      <c r="AF46" s="267"/>
      <c r="AG46" s="267"/>
      <c r="AI46" s="267"/>
      <c r="AJ46" s="267"/>
      <c r="AK46" s="267"/>
      <c r="AL46" s="267"/>
      <c r="AM46" s="267"/>
      <c r="AN46" s="267"/>
      <c r="AO46" s="267"/>
    </row>
    <row r="47" spans="2:41" hidden="1" outlineLevel="1">
      <c r="B47" s="212" t="s">
        <v>350</v>
      </c>
      <c r="C47" s="252">
        <v>3501</v>
      </c>
      <c r="D47" s="274">
        <v>1545</v>
      </c>
      <c r="E47" s="252">
        <v>1697</v>
      </c>
      <c r="F47" s="252">
        <v>717</v>
      </c>
      <c r="G47" s="252">
        <v>912</v>
      </c>
      <c r="H47" s="252">
        <v>945</v>
      </c>
      <c r="I47" s="253">
        <v>617</v>
      </c>
      <c r="K47" s="254">
        <f t="shared" si="70"/>
        <v>1026.6862170087977</v>
      </c>
      <c r="L47" s="252">
        <f t="shared" si="63"/>
        <v>516.72240802675583</v>
      </c>
      <c r="M47" s="252">
        <f t="shared" si="64"/>
        <v>606.93848354792567</v>
      </c>
      <c r="N47" s="252">
        <f t="shared" si="65"/>
        <v>281.06624852998823</v>
      </c>
      <c r="O47" s="252">
        <f t="shared" si="66"/>
        <v>338.15350389321469</v>
      </c>
      <c r="P47" s="252">
        <f t="shared" si="67"/>
        <v>336.4186543253827</v>
      </c>
      <c r="Q47" s="253">
        <f t="shared" si="68"/>
        <v>213.42096160498099</v>
      </c>
      <c r="S47" s="255">
        <f t="shared" si="69"/>
        <v>1.4298871324452871E-3</v>
      </c>
      <c r="T47" s="144">
        <f t="shared" si="69"/>
        <v>6.9319098017204595E-4</v>
      </c>
      <c r="U47" s="144">
        <f t="shared" si="69"/>
        <v>8.0198032903405065E-4</v>
      </c>
      <c r="V47" s="144">
        <f t="shared" si="69"/>
        <v>3.4957653458979364E-4</v>
      </c>
      <c r="W47" s="144">
        <f t="shared" si="69"/>
        <v>5.1589196136240731E-4</v>
      </c>
      <c r="X47" s="144">
        <f t="shared" si="69"/>
        <v>6.144147553166382E-4</v>
      </c>
      <c r="Y47" s="257">
        <f t="shared" si="69"/>
        <v>4.3183695180503659E-4</v>
      </c>
      <c r="AA47" s="267"/>
      <c r="AB47" s="267"/>
      <c r="AC47" s="267"/>
      <c r="AD47" s="267"/>
      <c r="AE47" s="267"/>
      <c r="AF47" s="267"/>
      <c r="AG47" s="267"/>
      <c r="AI47" s="267"/>
      <c r="AJ47" s="267"/>
      <c r="AK47" s="267"/>
      <c r="AL47" s="267"/>
      <c r="AM47" s="267"/>
      <c r="AN47" s="267"/>
      <c r="AO47" s="267"/>
    </row>
    <row r="48" spans="2:41" hidden="1" outlineLevel="1">
      <c r="B48" s="212" t="s">
        <v>351</v>
      </c>
      <c r="C48" s="252">
        <v>1200</v>
      </c>
      <c r="D48" s="274">
        <v>144570</v>
      </c>
      <c r="E48" s="252">
        <v>48668</v>
      </c>
      <c r="F48" s="252">
        <v>701</v>
      </c>
      <c r="G48" s="252">
        <v>5989</v>
      </c>
      <c r="H48" s="252">
        <v>22791</v>
      </c>
      <c r="I48" s="253">
        <v>126</v>
      </c>
      <c r="K48" s="254">
        <f t="shared" si="70"/>
        <v>351.90615835777123</v>
      </c>
      <c r="L48" s="252">
        <f t="shared" si="63"/>
        <v>48351.170568561873</v>
      </c>
      <c r="M48" s="252">
        <f t="shared" si="64"/>
        <v>17406.294706723893</v>
      </c>
      <c r="N48" s="252">
        <f t="shared" si="65"/>
        <v>274.79419835358681</v>
      </c>
      <c r="O48" s="252">
        <f t="shared" si="66"/>
        <v>2220.6154987022619</v>
      </c>
      <c r="P48" s="252">
        <f t="shared" si="67"/>
        <v>8113.5635457458166</v>
      </c>
      <c r="Q48" s="253">
        <f t="shared" si="68"/>
        <v>43.583535108958834</v>
      </c>
      <c r="S48" s="255">
        <f t="shared" si="69"/>
        <v>4.9010698627087815E-4</v>
      </c>
      <c r="T48" s="144">
        <f t="shared" si="69"/>
        <v>6.4863831717458048E-2</v>
      </c>
      <c r="U48" s="144">
        <f t="shared" si="69"/>
        <v>2.2999869565957089E-2</v>
      </c>
      <c r="V48" s="144">
        <f t="shared" si="69"/>
        <v>3.4177566352502838E-4</v>
      </c>
      <c r="W48" s="144">
        <f t="shared" si="69"/>
        <v>3.3878036804818614E-3</v>
      </c>
      <c r="X48" s="144">
        <f t="shared" si="69"/>
        <v>1.4818123479811112E-2</v>
      </c>
      <c r="Y48" s="257">
        <f t="shared" si="69"/>
        <v>8.8187124679796762E-5</v>
      </c>
      <c r="AA48" s="267"/>
      <c r="AB48" s="267"/>
      <c r="AC48" s="267"/>
      <c r="AD48" s="267"/>
      <c r="AE48" s="267"/>
      <c r="AF48" s="267"/>
      <c r="AG48" s="267"/>
      <c r="AI48" s="267"/>
      <c r="AJ48" s="267"/>
      <c r="AK48" s="267"/>
      <c r="AL48" s="267"/>
      <c r="AM48" s="267"/>
      <c r="AN48" s="267"/>
      <c r="AO48" s="267"/>
    </row>
    <row r="49" spans="2:41" hidden="1" outlineLevel="1">
      <c r="B49" s="212" t="s">
        <v>352</v>
      </c>
      <c r="C49" s="252"/>
      <c r="D49" s="252"/>
      <c r="E49" s="252"/>
      <c r="F49" s="252"/>
      <c r="G49" s="252"/>
      <c r="H49" s="252"/>
      <c r="I49" s="253"/>
      <c r="K49" s="254">
        <f t="shared" si="70"/>
        <v>0</v>
      </c>
      <c r="L49" s="252">
        <f t="shared" si="63"/>
        <v>0</v>
      </c>
      <c r="M49" s="252">
        <f t="shared" si="64"/>
        <v>0</v>
      </c>
      <c r="N49" s="252">
        <f t="shared" si="65"/>
        <v>0</v>
      </c>
      <c r="O49" s="252">
        <f t="shared" si="66"/>
        <v>0</v>
      </c>
      <c r="P49" s="252">
        <f t="shared" si="67"/>
        <v>0</v>
      </c>
      <c r="Q49" s="253">
        <f t="shared" si="68"/>
        <v>0</v>
      </c>
      <c r="S49" s="255">
        <f t="shared" si="69"/>
        <v>0</v>
      </c>
      <c r="T49" s="144">
        <f t="shared" si="69"/>
        <v>0</v>
      </c>
      <c r="U49" s="144">
        <f t="shared" si="69"/>
        <v>0</v>
      </c>
      <c r="V49" s="144">
        <f t="shared" si="69"/>
        <v>0</v>
      </c>
      <c r="W49" s="144">
        <f t="shared" si="69"/>
        <v>0</v>
      </c>
      <c r="X49" s="144">
        <f t="shared" si="69"/>
        <v>0</v>
      </c>
      <c r="Y49" s="257">
        <f t="shared" si="69"/>
        <v>0</v>
      </c>
      <c r="AA49" s="267"/>
      <c r="AB49" s="267"/>
      <c r="AC49" s="267"/>
      <c r="AD49" s="267"/>
      <c r="AE49" s="267"/>
      <c r="AF49" s="267"/>
      <c r="AG49" s="267"/>
      <c r="AI49" s="267"/>
      <c r="AJ49" s="267"/>
      <c r="AK49" s="267"/>
      <c r="AL49" s="267"/>
      <c r="AM49" s="267"/>
      <c r="AN49" s="267"/>
      <c r="AO49" s="267"/>
    </row>
    <row r="50" spans="2:41" hidden="1" outlineLevel="1">
      <c r="B50" s="212" t="s">
        <v>353</v>
      </c>
      <c r="C50" s="252"/>
      <c r="D50" s="252">
        <v>4693</v>
      </c>
      <c r="E50" s="252">
        <v>1697</v>
      </c>
      <c r="F50" s="252">
        <v>9314</v>
      </c>
      <c r="G50" s="252">
        <v>5163</v>
      </c>
      <c r="H50" s="252">
        <v>271</v>
      </c>
      <c r="I50" s="253">
        <v>1102</v>
      </c>
      <c r="K50" s="254">
        <f t="shared" si="70"/>
        <v>0</v>
      </c>
      <c r="L50" s="252">
        <f t="shared" si="63"/>
        <v>1569.5652173913043</v>
      </c>
      <c r="M50" s="252">
        <f t="shared" si="64"/>
        <v>606.93848354792567</v>
      </c>
      <c r="N50" s="252">
        <f t="shared" si="65"/>
        <v>3651.1172089376714</v>
      </c>
      <c r="O50" s="252">
        <f t="shared" si="66"/>
        <v>1914.3492769744159</v>
      </c>
      <c r="P50" s="252">
        <f t="shared" si="67"/>
        <v>96.475614097543598</v>
      </c>
      <c r="Q50" s="253">
        <f t="shared" si="68"/>
        <v>381.18298166724315</v>
      </c>
      <c r="S50" s="255">
        <f t="shared" si="69"/>
        <v>0</v>
      </c>
      <c r="T50" s="144">
        <f t="shared" si="69"/>
        <v>2.1055956439789076E-3</v>
      </c>
      <c r="U50" s="144">
        <f t="shared" si="69"/>
        <v>8.0198032903405065E-4</v>
      </c>
      <c r="V50" s="144">
        <f t="shared" si="69"/>
        <v>4.5410820685764823E-3</v>
      </c>
      <c r="W50" s="144">
        <f t="shared" si="69"/>
        <v>2.9205594260023121E-3</v>
      </c>
      <c r="X50" s="144">
        <f t="shared" si="69"/>
        <v>1.7619724729186131E-4</v>
      </c>
      <c r="Y50" s="257">
        <f t="shared" si="69"/>
        <v>7.7128739204076211E-4</v>
      </c>
      <c r="AA50" s="267"/>
      <c r="AB50" s="267"/>
      <c r="AC50" s="267"/>
      <c r="AD50" s="267"/>
      <c r="AE50" s="267"/>
      <c r="AF50" s="267"/>
      <c r="AG50" s="267"/>
      <c r="AI50" s="267"/>
      <c r="AJ50" s="267"/>
      <c r="AK50" s="267"/>
      <c r="AL50" s="267"/>
      <c r="AM50" s="267"/>
      <c r="AN50" s="267"/>
      <c r="AO50" s="267"/>
    </row>
    <row r="51" spans="2:41" hidden="1" outlineLevel="1">
      <c r="B51" s="212" t="s">
        <v>354</v>
      </c>
      <c r="C51" s="252"/>
      <c r="D51" s="252"/>
      <c r="E51" s="252"/>
      <c r="F51" s="252"/>
      <c r="G51" s="252"/>
      <c r="H51" s="252"/>
      <c r="I51" s="253"/>
      <c r="K51" s="254"/>
      <c r="L51" s="252"/>
      <c r="M51" s="252"/>
      <c r="N51" s="252"/>
      <c r="O51" s="252"/>
      <c r="P51" s="252"/>
      <c r="Q51" s="253"/>
      <c r="S51" s="255">
        <f t="shared" si="69"/>
        <v>0</v>
      </c>
      <c r="T51" s="144">
        <f t="shared" si="69"/>
        <v>0</v>
      </c>
      <c r="U51" s="144">
        <f t="shared" si="69"/>
        <v>0</v>
      </c>
      <c r="V51" s="144">
        <f t="shared" si="69"/>
        <v>0</v>
      </c>
      <c r="W51" s="144">
        <f t="shared" si="69"/>
        <v>0</v>
      </c>
      <c r="X51" s="144">
        <f t="shared" si="69"/>
        <v>0</v>
      </c>
      <c r="Y51" s="257">
        <f t="shared" si="69"/>
        <v>0</v>
      </c>
      <c r="AA51" s="267"/>
      <c r="AB51" s="267"/>
      <c r="AC51" s="267"/>
      <c r="AD51" s="267"/>
      <c r="AE51" s="267"/>
      <c r="AF51" s="267"/>
      <c r="AG51" s="267"/>
      <c r="AI51" s="267"/>
      <c r="AJ51" s="267"/>
      <c r="AK51" s="267"/>
      <c r="AL51" s="267"/>
      <c r="AM51" s="267"/>
      <c r="AN51" s="267"/>
      <c r="AO51" s="267"/>
    </row>
    <row r="52" spans="2:41" collapsed="1">
      <c r="B52" s="209" t="s">
        <v>67</v>
      </c>
      <c r="C52" s="220">
        <f t="shared" ref="C52:I52" si="71">SUM(C44:C51)</f>
        <v>86554</v>
      </c>
      <c r="D52" s="220">
        <f t="shared" si="71"/>
        <v>197118</v>
      </c>
      <c r="E52" s="220">
        <f t="shared" si="71"/>
        <v>138684</v>
      </c>
      <c r="F52" s="220">
        <f t="shared" si="71"/>
        <v>74701</v>
      </c>
      <c r="G52" s="220">
        <f t="shared" si="71"/>
        <v>66474</v>
      </c>
      <c r="H52" s="220">
        <f t="shared" si="71"/>
        <v>69177</v>
      </c>
      <c r="I52" s="221">
        <f t="shared" si="71"/>
        <v>54359</v>
      </c>
      <c r="J52" s="207"/>
      <c r="K52" s="219">
        <f t="shared" ref="K52:Q52" si="72">SUM(K44:K51)</f>
        <v>25382.404692082113</v>
      </c>
      <c r="L52" s="220">
        <f t="shared" si="72"/>
        <v>65925.752508361213</v>
      </c>
      <c r="M52" s="220">
        <f t="shared" si="72"/>
        <v>49600.858369098714</v>
      </c>
      <c r="N52" s="220">
        <f t="shared" si="72"/>
        <v>29283.026264210112</v>
      </c>
      <c r="O52" s="220">
        <f t="shared" si="72"/>
        <v>24647.385984427139</v>
      </c>
      <c r="P52" s="220">
        <f t="shared" si="72"/>
        <v>24626.91349234603</v>
      </c>
      <c r="Q52" s="221">
        <f t="shared" si="72"/>
        <v>18802.836388792803</v>
      </c>
      <c r="S52" s="255">
        <f t="shared" si="69"/>
        <v>3.5350600074741327E-2</v>
      </c>
      <c r="T52" s="144">
        <f t="shared" si="69"/>
        <v>8.8440401054727114E-2</v>
      </c>
      <c r="U52" s="144">
        <f t="shared" si="69"/>
        <v>6.5540271038160444E-2</v>
      </c>
      <c r="V52" s="144">
        <f t="shared" si="69"/>
        <v>3.6420804338064397E-2</v>
      </c>
      <c r="W52" s="144">
        <f t="shared" si="69"/>
        <v>3.7602414736408615E-2</v>
      </c>
      <c r="X52" s="144">
        <f t="shared" si="69"/>
        <v>4.4977110612210665E-2</v>
      </c>
      <c r="Y52" s="257">
        <f t="shared" si="69"/>
        <v>3.8045745321183107E-2</v>
      </c>
      <c r="AA52" s="267"/>
      <c r="AB52" s="267"/>
      <c r="AC52" s="267"/>
      <c r="AD52" s="267"/>
      <c r="AE52" s="267"/>
      <c r="AF52" s="267"/>
      <c r="AG52" s="267"/>
      <c r="AI52" s="267"/>
      <c r="AJ52" s="267"/>
      <c r="AK52" s="267"/>
      <c r="AL52" s="267"/>
      <c r="AM52" s="267"/>
      <c r="AN52" s="267"/>
      <c r="AO52" s="267"/>
    </row>
    <row r="53" spans="2:41" hidden="1" outlineLevel="1">
      <c r="B53" s="209" t="s">
        <v>68</v>
      </c>
      <c r="C53" s="220"/>
      <c r="D53" s="220"/>
      <c r="E53" s="220"/>
      <c r="F53" s="220"/>
      <c r="G53" s="220"/>
      <c r="H53" s="220"/>
      <c r="I53" s="221"/>
      <c r="J53" s="207"/>
      <c r="K53" s="219"/>
      <c r="L53" s="220"/>
      <c r="M53" s="220"/>
      <c r="N53" s="220"/>
      <c r="O53" s="220"/>
      <c r="P53" s="220"/>
      <c r="Q53" s="221"/>
      <c r="S53" s="265" t="s">
        <v>355</v>
      </c>
      <c r="T53" s="144"/>
      <c r="U53" s="144"/>
      <c r="V53" s="144"/>
      <c r="W53" s="144"/>
      <c r="X53" s="144"/>
      <c r="Y53" s="257"/>
      <c r="AA53" s="267" t="s">
        <v>334</v>
      </c>
      <c r="AB53" s="267"/>
      <c r="AC53" s="267"/>
      <c r="AD53" s="267"/>
      <c r="AE53" s="267"/>
      <c r="AF53" s="267"/>
      <c r="AG53" s="267"/>
      <c r="AI53" s="267"/>
      <c r="AJ53" s="267"/>
      <c r="AK53" s="267"/>
      <c r="AL53" s="267"/>
      <c r="AM53" s="267"/>
      <c r="AN53" s="267"/>
      <c r="AO53" s="267"/>
    </row>
    <row r="54" spans="2:41" hidden="1" outlineLevel="1">
      <c r="B54" s="212" t="s">
        <v>356</v>
      </c>
      <c r="C54" s="252">
        <v>38821</v>
      </c>
      <c r="D54" s="252">
        <v>59004</v>
      </c>
      <c r="E54" s="252">
        <v>31610</v>
      </c>
      <c r="F54" s="252">
        <v>30750</v>
      </c>
      <c r="G54" s="252">
        <v>26616</v>
      </c>
      <c r="H54" s="252">
        <v>26532</v>
      </c>
      <c r="I54" s="253">
        <v>23386</v>
      </c>
      <c r="K54" s="254">
        <f t="shared" ref="K54:K60" si="73">C54/K$3</f>
        <v>11384.457478005865</v>
      </c>
      <c r="L54" s="252">
        <f t="shared" ref="L54:L60" si="74">D54/L$3</f>
        <v>19733.779264214045</v>
      </c>
      <c r="M54" s="252">
        <f t="shared" ref="M54:M60" si="75">E54/M$3</f>
        <v>11305.43633762518</v>
      </c>
      <c r="N54" s="252">
        <f t="shared" ref="N54:N60" si="76">F54/N$3</f>
        <v>12054.096432771461</v>
      </c>
      <c r="O54" s="252">
        <f t="shared" ref="O54:O60" si="77">G54/O$3</f>
        <v>9868.7430478309234</v>
      </c>
      <c r="P54" s="252">
        <f t="shared" ref="P54:P60" si="78">H54/P$3</f>
        <v>9445.3542185831247</v>
      </c>
      <c r="Q54" s="253">
        <f t="shared" ref="Q54:Q60" si="79">I54/Q$3</f>
        <v>8089.2424766516779</v>
      </c>
      <c r="S54" s="255">
        <f t="shared" si="69"/>
        <v>1.5855369428351467E-2</v>
      </c>
      <c r="T54" s="144">
        <f t="shared" si="69"/>
        <v>2.6473165433055921E-2</v>
      </c>
      <c r="U54" s="144">
        <f t="shared" si="69"/>
        <v>1.4938478609762135E-2</v>
      </c>
      <c r="V54" s="144">
        <f t="shared" si="69"/>
        <v>1.4992299077595752E-2</v>
      </c>
      <c r="W54" s="144">
        <f t="shared" si="69"/>
        <v>1.5055899609234466E-2</v>
      </c>
      <c r="X54" s="144">
        <f t="shared" si="69"/>
        <v>1.7250425701651896E-2</v>
      </c>
      <c r="Y54" s="257">
        <f t="shared" si="69"/>
        <v>1.6367810299696247E-2</v>
      </c>
      <c r="AA54" s="267"/>
      <c r="AB54" s="267"/>
      <c r="AC54" s="267"/>
      <c r="AD54" s="267"/>
      <c r="AE54" s="267"/>
      <c r="AF54" s="267"/>
      <c r="AG54" s="267"/>
      <c r="AI54" s="267"/>
      <c r="AJ54" s="267"/>
      <c r="AK54" s="267"/>
      <c r="AL54" s="267"/>
      <c r="AM54" s="267"/>
      <c r="AN54" s="267"/>
      <c r="AO54" s="267"/>
    </row>
    <row r="55" spans="2:41" hidden="1" outlineLevel="1">
      <c r="B55" s="212" t="s">
        <v>775</v>
      </c>
      <c r="C55" s="252">
        <v>43908</v>
      </c>
      <c r="D55" s="252"/>
      <c r="E55" s="252"/>
      <c r="F55" s="252"/>
      <c r="G55" s="252"/>
      <c r="H55" s="252"/>
      <c r="I55" s="253"/>
      <c r="K55" s="254">
        <f t="shared" si="73"/>
        <v>12876.24633431085</v>
      </c>
      <c r="L55" s="252">
        <f t="shared" si="74"/>
        <v>0</v>
      </c>
      <c r="M55" s="252">
        <f t="shared" si="75"/>
        <v>0</v>
      </c>
      <c r="N55" s="252">
        <f t="shared" si="76"/>
        <v>0</v>
      </c>
      <c r="O55" s="252">
        <f t="shared" si="77"/>
        <v>0</v>
      </c>
      <c r="P55" s="252">
        <f t="shared" si="78"/>
        <v>0</v>
      </c>
      <c r="Q55" s="253">
        <f t="shared" si="79"/>
        <v>0</v>
      </c>
      <c r="S55" s="255"/>
      <c r="T55" s="144"/>
      <c r="U55" s="144"/>
      <c r="V55" s="144"/>
      <c r="W55" s="144"/>
      <c r="X55" s="144"/>
      <c r="Y55" s="257"/>
      <c r="AA55" s="267"/>
      <c r="AB55" s="267"/>
      <c r="AC55" s="267"/>
      <c r="AD55" s="267"/>
      <c r="AE55" s="267"/>
      <c r="AF55" s="267"/>
      <c r="AG55" s="267"/>
      <c r="AI55" s="267"/>
      <c r="AJ55" s="267"/>
      <c r="AK55" s="267"/>
      <c r="AL55" s="267"/>
      <c r="AM55" s="267"/>
      <c r="AN55" s="267"/>
      <c r="AO55" s="267"/>
    </row>
    <row r="56" spans="2:41" hidden="1" outlineLevel="1">
      <c r="B56" s="212" t="s">
        <v>357</v>
      </c>
      <c r="C56" s="252">
        <v>50193</v>
      </c>
      <c r="D56" s="252">
        <v>39963</v>
      </c>
      <c r="E56" s="252">
        <v>46136</v>
      </c>
      <c r="F56" s="252">
        <v>43412</v>
      </c>
      <c r="G56" s="252">
        <v>14957</v>
      </c>
      <c r="H56" s="252">
        <v>19912</v>
      </c>
      <c r="I56" s="253">
        <v>21669</v>
      </c>
      <c r="K56" s="254">
        <f t="shared" si="73"/>
        <v>14719.354838709676</v>
      </c>
      <c r="L56" s="252">
        <f t="shared" si="74"/>
        <v>13365.551839464883</v>
      </c>
      <c r="M56" s="252">
        <f t="shared" si="75"/>
        <v>16500.715307582261</v>
      </c>
      <c r="N56" s="252">
        <f t="shared" si="76"/>
        <v>17017.640141121126</v>
      </c>
      <c r="O56" s="252">
        <f t="shared" si="77"/>
        <v>5545.7916203188724</v>
      </c>
      <c r="P56" s="252">
        <f t="shared" si="78"/>
        <v>7088.6436454254181</v>
      </c>
      <c r="Q56" s="253">
        <f t="shared" si="79"/>
        <v>7495.3303355240405</v>
      </c>
      <c r="S56" s="255">
        <f t="shared" si="69"/>
        <v>2.0499949968245154E-2</v>
      </c>
      <c r="T56" s="144">
        <f t="shared" si="69"/>
        <v>1.7930091353149175E-2</v>
      </c>
      <c r="U56" s="144">
        <f t="shared" si="69"/>
        <v>2.1803278998417771E-2</v>
      </c>
      <c r="V56" s="144">
        <f t="shared" si="69"/>
        <v>2.1165713416474365E-2</v>
      </c>
      <c r="W56" s="144">
        <f t="shared" si="69"/>
        <v>8.460741300545532E-3</v>
      </c>
      <c r="X56" s="144">
        <f t="shared" si="69"/>
        <v>1.294627154271418E-2</v>
      </c>
      <c r="Y56" s="257">
        <f t="shared" si="69"/>
        <v>1.5166085751480287E-2</v>
      </c>
      <c r="AA56" s="267"/>
      <c r="AB56" s="267"/>
      <c r="AC56" s="267"/>
      <c r="AD56" s="267"/>
      <c r="AE56" s="267"/>
      <c r="AF56" s="267"/>
      <c r="AG56" s="267"/>
      <c r="AI56" s="267"/>
      <c r="AJ56" s="267"/>
      <c r="AK56" s="267"/>
      <c r="AL56" s="267"/>
      <c r="AM56" s="267"/>
      <c r="AN56" s="267"/>
      <c r="AO56" s="267"/>
    </row>
    <row r="57" spans="2:41" hidden="1" outlineLevel="1">
      <c r="B57" s="212" t="s">
        <v>358</v>
      </c>
      <c r="C57" s="252">
        <v>11727</v>
      </c>
      <c r="D57" s="252">
        <v>6485</v>
      </c>
      <c r="E57" s="252">
        <v>6657</v>
      </c>
      <c r="F57" s="252">
        <v>5047</v>
      </c>
      <c r="G57" s="252">
        <v>2654</v>
      </c>
      <c r="H57" s="252">
        <v>29601</v>
      </c>
      <c r="I57" s="253">
        <v>20638</v>
      </c>
      <c r="K57" s="254">
        <f t="shared" si="73"/>
        <v>3439.0029325513196</v>
      </c>
      <c r="L57" s="252">
        <f t="shared" si="74"/>
        <v>2168.8963210702341</v>
      </c>
      <c r="M57" s="252">
        <f t="shared" si="75"/>
        <v>2380.9012875536482</v>
      </c>
      <c r="N57" s="252">
        <f t="shared" si="76"/>
        <v>1978.4398275186199</v>
      </c>
      <c r="O57" s="252">
        <f t="shared" si="77"/>
        <v>984.05635891731549</v>
      </c>
      <c r="P57" s="252">
        <f t="shared" si="78"/>
        <v>10537.913848344606</v>
      </c>
      <c r="Q57" s="253">
        <f t="shared" si="79"/>
        <v>7138.7063299896226</v>
      </c>
      <c r="S57" s="255">
        <f t="shared" si="69"/>
        <v>4.7895705233321571E-3</v>
      </c>
      <c r="T57" s="144">
        <f t="shared" si="69"/>
        <v>2.9096074475182645E-3</v>
      </c>
      <c r="U57" s="144">
        <f t="shared" si="69"/>
        <v>3.1460124044665146E-3</v>
      </c>
      <c r="V57" s="144">
        <f t="shared" si="69"/>
        <v>2.4606872664918946E-3</v>
      </c>
      <c r="W57" s="144">
        <f t="shared" si="69"/>
        <v>1.5012908612454265E-3</v>
      </c>
      <c r="X57" s="144">
        <f t="shared" si="69"/>
        <v>1.9245810764156407E-2</v>
      </c>
      <c r="Y57" s="257">
        <f t="shared" si="69"/>
        <v>1.4444491104298775E-2</v>
      </c>
      <c r="AA57" s="267"/>
      <c r="AB57" s="267"/>
      <c r="AC57" s="267"/>
      <c r="AD57" s="267"/>
      <c r="AE57" s="267"/>
      <c r="AF57" s="267"/>
      <c r="AG57" s="267"/>
      <c r="AI57" s="267"/>
      <c r="AJ57" s="267"/>
      <c r="AK57" s="267"/>
      <c r="AL57" s="267"/>
      <c r="AM57" s="267"/>
      <c r="AN57" s="267"/>
      <c r="AO57" s="267"/>
    </row>
    <row r="58" spans="2:41" hidden="1" outlineLevel="1">
      <c r="B58" s="212" t="s">
        <v>359</v>
      </c>
      <c r="C58" s="252">
        <v>4813</v>
      </c>
      <c r="D58" s="252">
        <v>12647</v>
      </c>
      <c r="E58" s="252">
        <v>26667</v>
      </c>
      <c r="F58" s="252">
        <v>8415</v>
      </c>
      <c r="G58" s="252">
        <v>5867</v>
      </c>
      <c r="H58" s="252">
        <v>2774</v>
      </c>
      <c r="I58" s="253">
        <v>14025</v>
      </c>
      <c r="K58" s="254">
        <f t="shared" si="73"/>
        <v>1411.4369501466274</v>
      </c>
      <c r="L58" s="252">
        <f t="shared" si="74"/>
        <v>4229.7658862876251</v>
      </c>
      <c r="M58" s="252">
        <f t="shared" si="75"/>
        <v>9537.5536480686696</v>
      </c>
      <c r="N58" s="252">
        <f t="shared" si="76"/>
        <v>3298.7063896511172</v>
      </c>
      <c r="O58" s="252">
        <f t="shared" si="77"/>
        <v>2175.3800519095289</v>
      </c>
      <c r="P58" s="252">
        <f t="shared" si="78"/>
        <v>987.54004983980053</v>
      </c>
      <c r="Q58" s="253">
        <f t="shared" si="79"/>
        <v>4851.2625389138702</v>
      </c>
      <c r="S58" s="255">
        <f t="shared" si="69"/>
        <v>1.9657374374347802E-3</v>
      </c>
      <c r="T58" s="144">
        <f t="shared" si="69"/>
        <v>5.6742953567869682E-3</v>
      </c>
      <c r="U58" s="144">
        <f t="shared" si="69"/>
        <v>1.2602480515233369E-2</v>
      </c>
      <c r="V58" s="144">
        <f t="shared" si="69"/>
        <v>4.1027706256249845E-3</v>
      </c>
      <c r="W58" s="144">
        <f t="shared" si="69"/>
        <v>3.3187918172294336E-3</v>
      </c>
      <c r="X58" s="144">
        <f t="shared" si="69"/>
        <v>1.8035836309506393E-3</v>
      </c>
      <c r="Y58" s="257">
        <f t="shared" si="69"/>
        <v>9.8160668542392818E-3</v>
      </c>
      <c r="AA58" s="267"/>
      <c r="AB58" s="267"/>
      <c r="AC58" s="267"/>
      <c r="AD58" s="267"/>
      <c r="AE58" s="267"/>
      <c r="AF58" s="267"/>
      <c r="AG58" s="267"/>
      <c r="AI58" s="267"/>
      <c r="AJ58" s="267"/>
      <c r="AK58" s="267"/>
      <c r="AL58" s="267"/>
      <c r="AM58" s="267"/>
      <c r="AN58" s="267"/>
      <c r="AO58" s="267"/>
    </row>
    <row r="59" spans="2:41" hidden="1" outlineLevel="1">
      <c r="B59" s="212" t="s">
        <v>360</v>
      </c>
      <c r="C59" s="252">
        <v>1880</v>
      </c>
      <c r="D59" s="252">
        <v>106271</v>
      </c>
      <c r="E59" s="252">
        <v>23173</v>
      </c>
      <c r="F59" s="252">
        <v>3327</v>
      </c>
      <c r="G59" s="252">
        <v>3038</v>
      </c>
      <c r="H59" s="252">
        <v>15605</v>
      </c>
      <c r="I59" s="253">
        <v>1354</v>
      </c>
      <c r="K59" s="254">
        <f t="shared" si="73"/>
        <v>551.31964809384158</v>
      </c>
      <c r="L59" s="252">
        <f t="shared" si="74"/>
        <v>35542.140468227422</v>
      </c>
      <c r="M59" s="252">
        <f t="shared" si="75"/>
        <v>8287.9113018598</v>
      </c>
      <c r="N59" s="252">
        <f t="shared" si="76"/>
        <v>1304.1944335554683</v>
      </c>
      <c r="O59" s="252">
        <f t="shared" si="77"/>
        <v>1126.4367816091954</v>
      </c>
      <c r="P59" s="252">
        <f t="shared" si="78"/>
        <v>5555.3577785688858</v>
      </c>
      <c r="Q59" s="253">
        <f t="shared" si="79"/>
        <v>468.35005188516084</v>
      </c>
      <c r="S59" s="255">
        <f t="shared" si="69"/>
        <v>7.6783427849104241E-4</v>
      </c>
      <c r="T59" s="144">
        <f t="shared" si="69"/>
        <v>4.768032275330971E-2</v>
      </c>
      <c r="U59" s="144">
        <f t="shared" si="69"/>
        <v>1.0951261145967034E-2</v>
      </c>
      <c r="V59" s="144">
        <f t="shared" si="69"/>
        <v>1.6220936270296281E-3</v>
      </c>
      <c r="W59" s="144">
        <f t="shared" si="69"/>
        <v>1.7185085291874928E-3</v>
      </c>
      <c r="X59" s="144">
        <f t="shared" si="69"/>
        <v>1.0145970642027661E-2</v>
      </c>
      <c r="Y59" s="257">
        <f t="shared" si="69"/>
        <v>9.4766164140035571E-4</v>
      </c>
      <c r="AA59" s="267"/>
      <c r="AB59" s="267"/>
      <c r="AC59" s="267"/>
      <c r="AD59" s="267"/>
      <c r="AE59" s="267"/>
      <c r="AF59" s="267"/>
      <c r="AG59" s="267"/>
      <c r="AI59" s="267"/>
      <c r="AJ59" s="267"/>
      <c r="AK59" s="267"/>
      <c r="AL59" s="267"/>
      <c r="AM59" s="267"/>
      <c r="AN59" s="267"/>
      <c r="AO59" s="267"/>
    </row>
    <row r="60" spans="2:41" hidden="1" outlineLevel="1">
      <c r="B60" s="212" t="s">
        <v>361</v>
      </c>
      <c r="C60" s="252">
        <v>1819</v>
      </c>
      <c r="D60" s="252">
        <v>7858</v>
      </c>
      <c r="E60" s="252">
        <v>34643</v>
      </c>
      <c r="F60" s="252">
        <v>25092</v>
      </c>
      <c r="G60" s="252">
        <v>26643</v>
      </c>
      <c r="H60" s="252"/>
      <c r="I60" s="253"/>
      <c r="K60" s="254">
        <f t="shared" si="73"/>
        <v>533.43108504398822</v>
      </c>
      <c r="L60" s="252">
        <f t="shared" si="74"/>
        <v>2628.0936454849498</v>
      </c>
      <c r="M60" s="252">
        <f t="shared" si="75"/>
        <v>12390.200286123034</v>
      </c>
      <c r="N60" s="252">
        <f t="shared" si="76"/>
        <v>9836.1426891415122</v>
      </c>
      <c r="O60" s="252">
        <f t="shared" si="77"/>
        <v>9878.7541713014452</v>
      </c>
      <c r="P60" s="252">
        <f t="shared" si="78"/>
        <v>0</v>
      </c>
      <c r="Q60" s="253">
        <f t="shared" si="79"/>
        <v>0</v>
      </c>
      <c r="S60" s="255">
        <f t="shared" si="69"/>
        <v>7.4292050668893939E-4</v>
      </c>
      <c r="T60" s="144">
        <f t="shared" si="69"/>
        <v>3.5256276519041669E-3</v>
      </c>
      <c r="U60" s="144">
        <f t="shared" si="69"/>
        <v>1.6371835320404607E-2</v>
      </c>
      <c r="V60" s="144">
        <f t="shared" si="69"/>
        <v>1.2233716047318132E-2</v>
      </c>
      <c r="W60" s="144">
        <f t="shared" si="69"/>
        <v>1.5071172726511642E-2</v>
      </c>
      <c r="X60" s="144">
        <f t="shared" si="69"/>
        <v>0</v>
      </c>
      <c r="Y60" s="257">
        <f t="shared" si="69"/>
        <v>0</v>
      </c>
      <c r="AA60" s="267"/>
      <c r="AB60" s="267"/>
      <c r="AC60" s="267"/>
      <c r="AD60" s="267"/>
      <c r="AE60" s="267"/>
      <c r="AF60" s="267"/>
      <c r="AG60" s="267"/>
      <c r="AI60" s="267"/>
      <c r="AJ60" s="267"/>
      <c r="AK60" s="267"/>
      <c r="AL60" s="267"/>
      <c r="AM60" s="267"/>
      <c r="AN60" s="267"/>
      <c r="AO60" s="267"/>
    </row>
    <row r="61" spans="2:41" collapsed="1">
      <c r="B61" s="275" t="s">
        <v>68</v>
      </c>
      <c r="C61" s="276">
        <f t="shared" ref="C61:I61" si="80">SUM(C54:C60)*-1</f>
        <v>-153161</v>
      </c>
      <c r="D61" s="276">
        <f t="shared" si="80"/>
        <v>-232228</v>
      </c>
      <c r="E61" s="276">
        <f t="shared" si="80"/>
        <v>-168886</v>
      </c>
      <c r="F61" s="276">
        <f t="shared" si="80"/>
        <v>-116043</v>
      </c>
      <c r="G61" s="276">
        <f t="shared" si="80"/>
        <v>-79775</v>
      </c>
      <c r="H61" s="276">
        <f t="shared" si="80"/>
        <v>-94424</v>
      </c>
      <c r="I61" s="277">
        <f t="shared" si="80"/>
        <v>-81072</v>
      </c>
      <c r="J61" s="207"/>
      <c r="K61" s="278">
        <f t="shared" ref="K61:Q61" si="81">SUM(K54:K60)*-1</f>
        <v>-44915.249266862163</v>
      </c>
      <c r="L61" s="276">
        <f t="shared" si="81"/>
        <v>-77668.227424749144</v>
      </c>
      <c r="M61" s="276">
        <f t="shared" si="81"/>
        <v>-60402.7181688126</v>
      </c>
      <c r="N61" s="276">
        <f t="shared" si="81"/>
        <v>-45489.219913759298</v>
      </c>
      <c r="O61" s="276">
        <f t="shared" si="81"/>
        <v>-29579.162031887281</v>
      </c>
      <c r="P61" s="276">
        <f t="shared" si="81"/>
        <v>-33614.809540761831</v>
      </c>
      <c r="Q61" s="277">
        <f t="shared" si="81"/>
        <v>-28042.891732964374</v>
      </c>
      <c r="S61" s="263">
        <f t="shared" si="69"/>
        <v>-6.2554396770194962E-2</v>
      </c>
      <c r="T61" s="261">
        <f t="shared" si="69"/>
        <v>-0.10419310999572419</v>
      </c>
      <c r="U61" s="261">
        <f t="shared" si="69"/>
        <v>-7.9813346994251438E-2</v>
      </c>
      <c r="V61" s="261">
        <f t="shared" si="69"/>
        <v>-5.6577280060534745E-2</v>
      </c>
      <c r="W61" s="261">
        <f t="shared" si="69"/>
        <v>-4.5126404843953992E-2</v>
      </c>
      <c r="X61" s="261">
        <f t="shared" si="69"/>
        <v>-6.1392062281500778E-2</v>
      </c>
      <c r="Y61" s="262">
        <f t="shared" si="69"/>
        <v>-5.6742115651114949E-2</v>
      </c>
      <c r="AA61" s="267"/>
      <c r="AB61" s="267"/>
      <c r="AC61" s="267"/>
      <c r="AD61" s="267"/>
      <c r="AE61" s="267"/>
      <c r="AF61" s="267"/>
      <c r="AG61" s="267"/>
      <c r="AI61" s="267"/>
      <c r="AJ61" s="267"/>
      <c r="AK61" s="267"/>
      <c r="AL61" s="267"/>
      <c r="AM61" s="267"/>
      <c r="AN61" s="267"/>
      <c r="AO61" s="267"/>
    </row>
    <row r="62" spans="2:41">
      <c r="B62" s="279" t="s">
        <v>362</v>
      </c>
      <c r="C62" s="280">
        <f t="shared" ref="C62:I62" si="82">C23+C33+C42+C52+C61</f>
        <v>222287</v>
      </c>
      <c r="D62" s="280">
        <f t="shared" si="82"/>
        <v>171177</v>
      </c>
      <c r="E62" s="280">
        <f t="shared" si="82"/>
        <v>155132</v>
      </c>
      <c r="F62" s="280">
        <f t="shared" si="82"/>
        <v>155888</v>
      </c>
      <c r="G62" s="280">
        <f t="shared" si="82"/>
        <v>116201</v>
      </c>
      <c r="H62" s="280">
        <f t="shared" si="82"/>
        <v>110957</v>
      </c>
      <c r="I62" s="280">
        <f t="shared" si="82"/>
        <v>116210</v>
      </c>
      <c r="J62" s="207"/>
      <c r="K62" s="281">
        <f t="shared" ref="K62:Q62" si="83">K23+K33+K42+K52+K61</f>
        <v>65186.803519061425</v>
      </c>
      <c r="L62" s="280">
        <f t="shared" si="83"/>
        <v>57249.832775919698</v>
      </c>
      <c r="M62" s="280">
        <f t="shared" si="83"/>
        <v>55483.547925608145</v>
      </c>
      <c r="N62" s="280">
        <f t="shared" si="83"/>
        <v>61108.584868679027</v>
      </c>
      <c r="O62" s="280">
        <f t="shared" si="83"/>
        <v>43085.279940674787</v>
      </c>
      <c r="P62" s="280">
        <f t="shared" si="83"/>
        <v>39500.53399786412</v>
      </c>
      <c r="Q62" s="282">
        <f t="shared" si="83"/>
        <v>40197.163611207085</v>
      </c>
      <c r="S62" s="283"/>
      <c r="T62" s="125"/>
      <c r="U62" s="125"/>
      <c r="V62" s="125"/>
      <c r="W62" s="125"/>
      <c r="X62" s="125"/>
      <c r="Y62" s="251"/>
    </row>
    <row r="63" spans="2:41">
      <c r="B63" s="270" t="s">
        <v>678</v>
      </c>
      <c r="C63" s="284">
        <f>+C62/C11</f>
        <v>9.078700971432889E-2</v>
      </c>
      <c r="D63" s="284">
        <f>+D62/D11</f>
        <v>7.6801522597352956E-2</v>
      </c>
      <c r="E63" s="284">
        <f t="shared" ref="E63:I63" si="84">+E62/E11</f>
        <v>7.3313383856046188E-2</v>
      </c>
      <c r="F63" s="284">
        <f t="shared" si="84"/>
        <v>7.6003886784008018E-2</v>
      </c>
      <c r="G63" s="284">
        <f t="shared" si="84"/>
        <v>6.5731537063895937E-2</v>
      </c>
      <c r="H63" s="284">
        <f t="shared" si="84"/>
        <v>7.2141394714992826E-2</v>
      </c>
      <c r="I63" s="285">
        <f t="shared" si="84"/>
        <v>8.1335125071739525E-2</v>
      </c>
      <c r="K63" s="286">
        <f>+K62/K11</f>
        <v>9.0787009714328695E-2</v>
      </c>
      <c r="L63" s="284">
        <f>+L62/L11</f>
        <v>7.6801522597352914E-2</v>
      </c>
      <c r="M63" s="284">
        <f t="shared" ref="M63:Q63" si="85">+M62/M11</f>
        <v>7.3313383856046341E-2</v>
      </c>
      <c r="N63" s="284">
        <f t="shared" si="85"/>
        <v>7.6003886784008115E-2</v>
      </c>
      <c r="O63" s="284">
        <f t="shared" si="85"/>
        <v>6.5731537063895881E-2</v>
      </c>
      <c r="P63" s="284">
        <f t="shared" si="85"/>
        <v>7.2141394714993035E-2</v>
      </c>
      <c r="Q63" s="285">
        <f t="shared" si="85"/>
        <v>8.1335125071739317E-2</v>
      </c>
      <c r="S63" s="265" t="s">
        <v>363</v>
      </c>
      <c r="T63" s="125"/>
      <c r="U63" s="125"/>
      <c r="V63" s="125"/>
      <c r="W63" s="125"/>
      <c r="X63" s="125"/>
      <c r="Y63" s="251"/>
    </row>
    <row r="64" spans="2:41" hidden="1" outlineLevel="1">
      <c r="B64" s="209" t="s">
        <v>69</v>
      </c>
      <c r="C64" s="287">
        <v>0</v>
      </c>
      <c r="D64" s="287"/>
      <c r="E64" s="287"/>
      <c r="F64" s="287"/>
      <c r="G64" s="287"/>
      <c r="H64" s="287"/>
      <c r="I64" s="288"/>
      <c r="J64" s="207"/>
      <c r="K64" s="254"/>
      <c r="L64" s="252"/>
      <c r="M64" s="252"/>
      <c r="N64" s="252"/>
      <c r="O64" s="252"/>
      <c r="P64" s="252"/>
      <c r="Q64" s="253"/>
      <c r="S64" s="255">
        <f t="shared" ref="S64:Y64" si="86">+K64/K$11</f>
        <v>0</v>
      </c>
      <c r="T64" s="144">
        <f t="shared" si="86"/>
        <v>0</v>
      </c>
      <c r="U64" s="144">
        <f t="shared" si="86"/>
        <v>0</v>
      </c>
      <c r="V64" s="144">
        <f t="shared" si="86"/>
        <v>0</v>
      </c>
      <c r="W64" s="144">
        <f t="shared" si="86"/>
        <v>0</v>
      </c>
      <c r="X64" s="144">
        <f t="shared" si="86"/>
        <v>0</v>
      </c>
      <c r="Y64" s="257">
        <f t="shared" si="86"/>
        <v>0</v>
      </c>
    </row>
    <row r="65" spans="2:25" hidden="1" outlineLevel="1">
      <c r="B65" s="209" t="s">
        <v>70</v>
      </c>
      <c r="C65" s="220"/>
      <c r="D65" s="220"/>
      <c r="E65" s="220"/>
      <c r="F65" s="220"/>
      <c r="G65" s="220"/>
      <c r="H65" s="220"/>
      <c r="I65" s="221"/>
      <c r="J65" s="207"/>
      <c r="K65" s="289"/>
      <c r="L65" s="290"/>
      <c r="M65" s="290"/>
      <c r="N65" s="290"/>
      <c r="O65" s="290"/>
      <c r="P65" s="290"/>
      <c r="Q65" s="291"/>
      <c r="S65" s="265" t="s">
        <v>364</v>
      </c>
      <c r="T65" s="144"/>
      <c r="U65" s="144"/>
      <c r="V65" s="144"/>
      <c r="W65" s="144"/>
      <c r="X65" s="144"/>
      <c r="Y65" s="257"/>
    </row>
    <row r="66" spans="2:25" hidden="1" outlineLevel="1">
      <c r="B66" s="212" t="s">
        <v>365</v>
      </c>
      <c r="C66" s="252"/>
      <c r="D66" s="252">
        <v>0</v>
      </c>
      <c r="E66" s="252">
        <v>2868</v>
      </c>
      <c r="F66" s="252">
        <v>5851</v>
      </c>
      <c r="G66" s="252">
        <v>0</v>
      </c>
      <c r="H66" s="252"/>
      <c r="I66" s="253"/>
      <c r="K66" s="254">
        <f t="shared" ref="K66:K70" si="87">C66/K$3</f>
        <v>0</v>
      </c>
      <c r="L66" s="252">
        <f t="shared" ref="L66:L70" si="88">D66/L$3</f>
        <v>0</v>
      </c>
      <c r="M66" s="252">
        <f t="shared" ref="M66:M70" si="89">E66/M$3</f>
        <v>1025.7510729613734</v>
      </c>
      <c r="N66" s="252">
        <f t="shared" ref="N66:N70" si="90">F66/N$3</f>
        <v>2293.6103488827907</v>
      </c>
      <c r="O66" s="252">
        <f t="shared" ref="O66:O70" si="91">G66/O$3</f>
        <v>0</v>
      </c>
      <c r="P66" s="252">
        <f t="shared" ref="P66:P70" si="92">H66/P$3</f>
        <v>0</v>
      </c>
      <c r="Q66" s="253">
        <f t="shared" ref="Q66:Q70" si="93">I66/Q$3</f>
        <v>0</v>
      </c>
      <c r="S66" s="255">
        <f t="shared" ref="S66:Y82" si="94">+K66/K$11</f>
        <v>0</v>
      </c>
      <c r="T66" s="144">
        <f t="shared" si="94"/>
        <v>0</v>
      </c>
      <c r="U66" s="144">
        <f t="shared" si="94"/>
        <v>1.3553798371653844E-3</v>
      </c>
      <c r="V66" s="144">
        <f t="shared" si="94"/>
        <v>2.852681037496349E-3</v>
      </c>
      <c r="W66" s="144">
        <f t="shared" si="94"/>
        <v>0</v>
      </c>
      <c r="X66" s="144">
        <f t="shared" si="94"/>
        <v>0</v>
      </c>
      <c r="Y66" s="257">
        <f t="shared" si="94"/>
        <v>0</v>
      </c>
    </row>
    <row r="67" spans="2:25" hidden="1" outlineLevel="1">
      <c r="B67" s="212" t="s">
        <v>366</v>
      </c>
      <c r="C67" s="252">
        <v>2564</v>
      </c>
      <c r="D67" s="252">
        <v>2572</v>
      </c>
      <c r="E67" s="252">
        <v>8237</v>
      </c>
      <c r="F67" s="252">
        <v>5170</v>
      </c>
      <c r="G67" s="252">
        <v>2223</v>
      </c>
      <c r="H67" s="252">
        <v>4879</v>
      </c>
      <c r="I67" s="253">
        <v>3113</v>
      </c>
      <c r="K67" s="254">
        <f t="shared" si="87"/>
        <v>751.90615835777123</v>
      </c>
      <c r="L67" s="252">
        <f t="shared" si="88"/>
        <v>860.20066889632096</v>
      </c>
      <c r="M67" s="252">
        <f t="shared" si="89"/>
        <v>2945.994277539342</v>
      </c>
      <c r="N67" s="252">
        <f t="shared" si="90"/>
        <v>2026.6562132497058</v>
      </c>
      <c r="O67" s="252">
        <f t="shared" si="91"/>
        <v>824.24916573971075</v>
      </c>
      <c r="P67" s="252">
        <f t="shared" si="92"/>
        <v>1736.9170523317905</v>
      </c>
      <c r="Q67" s="253">
        <f t="shared" si="93"/>
        <v>1076.790038049118</v>
      </c>
      <c r="S67" s="255">
        <f t="shared" si="94"/>
        <v>1.0471952606654429E-3</v>
      </c>
      <c r="T67" s="144">
        <f t="shared" si="94"/>
        <v>1.1539722983834966E-3</v>
      </c>
      <c r="U67" s="144">
        <f t="shared" si="94"/>
        <v>3.89270004139863E-3</v>
      </c>
      <c r="V67" s="144">
        <f t="shared" si="94"/>
        <v>2.5206564628022774E-3</v>
      </c>
      <c r="W67" s="144">
        <f t="shared" si="94"/>
        <v>1.2574866558208678E-3</v>
      </c>
      <c r="X67" s="144">
        <f t="shared" si="94"/>
        <v>3.1722006255977537E-3</v>
      </c>
      <c r="Y67" s="257">
        <f t="shared" si="94"/>
        <v>2.1787818978429153E-3</v>
      </c>
    </row>
    <row r="68" spans="2:25" hidden="1" outlineLevel="1">
      <c r="B68" s="212" t="s">
        <v>367</v>
      </c>
      <c r="C68" s="252"/>
      <c r="D68" s="252"/>
      <c r="E68" s="252"/>
      <c r="F68" s="252">
        <v>941</v>
      </c>
      <c r="G68" s="252">
        <v>2392</v>
      </c>
      <c r="H68" s="252"/>
      <c r="I68" s="253"/>
      <c r="K68" s="254">
        <f t="shared" si="87"/>
        <v>0</v>
      </c>
      <c r="L68" s="252">
        <f t="shared" si="88"/>
        <v>0</v>
      </c>
      <c r="M68" s="252">
        <f t="shared" si="89"/>
        <v>0</v>
      </c>
      <c r="N68" s="252">
        <f t="shared" si="90"/>
        <v>368.87495099960796</v>
      </c>
      <c r="O68" s="252">
        <f t="shared" si="91"/>
        <v>886.91138301816829</v>
      </c>
      <c r="P68" s="252">
        <f t="shared" si="92"/>
        <v>0</v>
      </c>
      <c r="Q68" s="253">
        <f t="shared" si="93"/>
        <v>0</v>
      </c>
      <c r="S68" s="255">
        <f t="shared" si="94"/>
        <v>0</v>
      </c>
      <c r="T68" s="144">
        <f t="shared" si="94"/>
        <v>0</v>
      </c>
      <c r="U68" s="144">
        <f t="shared" si="94"/>
        <v>0</v>
      </c>
      <c r="V68" s="144">
        <f t="shared" si="94"/>
        <v>4.5878872949650738E-4</v>
      </c>
      <c r="W68" s="144">
        <f t="shared" si="94"/>
        <v>1.3530850565557876E-3</v>
      </c>
      <c r="X68" s="144">
        <f t="shared" si="94"/>
        <v>0</v>
      </c>
      <c r="Y68" s="257">
        <f t="shared" si="94"/>
        <v>0</v>
      </c>
    </row>
    <row r="69" spans="2:25" hidden="1" outlineLevel="1">
      <c r="B69" s="212" t="s">
        <v>368</v>
      </c>
      <c r="C69" s="252"/>
      <c r="D69" s="252"/>
      <c r="E69" s="252"/>
      <c r="F69" s="252">
        <v>744</v>
      </c>
      <c r="G69" s="252">
        <v>2133</v>
      </c>
      <c r="H69" s="252"/>
      <c r="I69" s="253"/>
      <c r="K69" s="254">
        <f t="shared" si="87"/>
        <v>0</v>
      </c>
      <c r="L69" s="252">
        <f t="shared" si="88"/>
        <v>0</v>
      </c>
      <c r="M69" s="252">
        <f t="shared" si="89"/>
        <v>0</v>
      </c>
      <c r="N69" s="252">
        <f t="shared" si="90"/>
        <v>291.65033320266559</v>
      </c>
      <c r="O69" s="252">
        <f t="shared" si="91"/>
        <v>790.87875417130147</v>
      </c>
      <c r="P69" s="252">
        <f t="shared" si="92"/>
        <v>0</v>
      </c>
      <c r="Q69" s="253">
        <f t="shared" si="93"/>
        <v>0</v>
      </c>
      <c r="S69" s="255">
        <f t="shared" si="94"/>
        <v>0</v>
      </c>
      <c r="T69" s="144">
        <f t="shared" si="94"/>
        <v>0</v>
      </c>
      <c r="U69" s="144">
        <f t="shared" si="94"/>
        <v>0</v>
      </c>
      <c r="V69" s="144">
        <f t="shared" si="94"/>
        <v>3.6274050451158503E-4</v>
      </c>
      <c r="W69" s="144">
        <f t="shared" si="94"/>
        <v>1.206576264896946E-3</v>
      </c>
      <c r="X69" s="144">
        <f t="shared" si="94"/>
        <v>0</v>
      </c>
      <c r="Y69" s="257">
        <f t="shared" si="94"/>
        <v>0</v>
      </c>
    </row>
    <row r="70" spans="2:25" hidden="1" outlineLevel="1">
      <c r="B70" s="212" t="s">
        <v>369</v>
      </c>
      <c r="C70" s="252">
        <v>25977</v>
      </c>
      <c r="D70" s="252">
        <v>60760</v>
      </c>
      <c r="E70" s="252">
        <v>94923</v>
      </c>
      <c r="F70" s="252">
        <v>110269</v>
      </c>
      <c r="G70" s="252">
        <v>53171</v>
      </c>
      <c r="H70" s="252">
        <v>21064</v>
      </c>
      <c r="I70" s="253">
        <v>41552</v>
      </c>
      <c r="K70" s="254">
        <f t="shared" si="87"/>
        <v>7617.8885630498535</v>
      </c>
      <c r="L70" s="252">
        <f t="shared" si="88"/>
        <v>20321.070234113711</v>
      </c>
      <c r="M70" s="252">
        <f t="shared" si="89"/>
        <v>33949.570815450643</v>
      </c>
      <c r="N70" s="252">
        <f t="shared" si="90"/>
        <v>43225.793806350448</v>
      </c>
      <c r="O70" s="252">
        <f t="shared" si="91"/>
        <v>19714.868372265479</v>
      </c>
      <c r="P70" s="252">
        <f t="shared" si="92"/>
        <v>7498.7540049839799</v>
      </c>
      <c r="Q70" s="253">
        <f t="shared" si="93"/>
        <v>14372.881355932202</v>
      </c>
      <c r="S70" s="255">
        <f t="shared" si="94"/>
        <v>1.0609590985298836E-2</v>
      </c>
      <c r="T70" s="144">
        <f t="shared" si="94"/>
        <v>2.7261025213756319E-2</v>
      </c>
      <c r="U70" s="144">
        <f t="shared" si="94"/>
        <v>4.4859386430700754E-2</v>
      </c>
      <c r="V70" s="144">
        <f t="shared" si="94"/>
        <v>5.3762140715037592E-2</v>
      </c>
      <c r="W70" s="144">
        <f t="shared" si="94"/>
        <v>3.0077293286842714E-2</v>
      </c>
      <c r="X70" s="144">
        <f t="shared" si="94"/>
        <v>1.3695272387290652E-2</v>
      </c>
      <c r="Y70" s="257">
        <f t="shared" si="94"/>
        <v>2.9082154005515198E-2</v>
      </c>
    </row>
    <row r="71" spans="2:25" collapsed="1">
      <c r="B71" s="209" t="s">
        <v>70</v>
      </c>
      <c r="C71" s="220">
        <f t="shared" ref="C71:I71" si="95">SUM(C66:C70)</f>
        <v>28541</v>
      </c>
      <c r="D71" s="220">
        <f t="shared" si="95"/>
        <v>63332</v>
      </c>
      <c r="E71" s="220">
        <f t="shared" si="95"/>
        <v>106028</v>
      </c>
      <c r="F71" s="220">
        <f t="shared" si="95"/>
        <v>122975</v>
      </c>
      <c r="G71" s="220">
        <f t="shared" si="95"/>
        <v>59919</v>
      </c>
      <c r="H71" s="220">
        <f t="shared" si="95"/>
        <v>25943</v>
      </c>
      <c r="I71" s="221">
        <f t="shared" si="95"/>
        <v>44665</v>
      </c>
      <c r="J71" s="207"/>
      <c r="K71" s="219">
        <f t="shared" ref="K71:Q71" si="96">SUM(K66:K70)</f>
        <v>8369.7947214076248</v>
      </c>
      <c r="L71" s="220">
        <f t="shared" si="96"/>
        <v>21181.27090301003</v>
      </c>
      <c r="M71" s="220">
        <f t="shared" si="96"/>
        <v>37921.316165951357</v>
      </c>
      <c r="N71" s="220">
        <f t="shared" si="96"/>
        <v>48206.585652685215</v>
      </c>
      <c r="O71" s="220">
        <f t="shared" si="96"/>
        <v>22216.90767519466</v>
      </c>
      <c r="P71" s="220">
        <f t="shared" si="96"/>
        <v>9235.6710573157707</v>
      </c>
      <c r="Q71" s="221">
        <f t="shared" si="96"/>
        <v>15449.67139398132</v>
      </c>
      <c r="S71" s="255">
        <f t="shared" si="94"/>
        <v>1.1656786245964279E-2</v>
      </c>
      <c r="T71" s="144">
        <f t="shared" si="94"/>
        <v>2.8414997512139814E-2</v>
      </c>
      <c r="U71" s="144">
        <f t="shared" si="94"/>
        <v>5.010746630926477E-2</v>
      </c>
      <c r="V71" s="144">
        <f t="shared" si="94"/>
        <v>5.9957007449344304E-2</v>
      </c>
      <c r="W71" s="144">
        <f t="shared" si="94"/>
        <v>3.3894441264116316E-2</v>
      </c>
      <c r="X71" s="144">
        <f t="shared" si="94"/>
        <v>1.6867473012888407E-2</v>
      </c>
      <c r="Y71" s="257">
        <f t="shared" si="94"/>
        <v>3.1260935903358114E-2</v>
      </c>
    </row>
    <row r="72" spans="2:25" hidden="1" outlineLevel="1">
      <c r="B72" s="209" t="s">
        <v>71</v>
      </c>
      <c r="C72" s="220"/>
      <c r="D72" s="220"/>
      <c r="E72" s="220"/>
      <c r="F72" s="220"/>
      <c r="G72" s="220"/>
      <c r="H72" s="220"/>
      <c r="I72" s="221"/>
      <c r="J72" s="207"/>
      <c r="K72" s="219"/>
      <c r="L72" s="220"/>
      <c r="M72" s="220"/>
      <c r="N72" s="220"/>
      <c r="O72" s="220"/>
      <c r="P72" s="220"/>
      <c r="Q72" s="221"/>
      <c r="S72" s="265" t="s">
        <v>370</v>
      </c>
      <c r="T72" s="144"/>
      <c r="U72" s="144"/>
      <c r="V72" s="144"/>
      <c r="W72" s="144"/>
      <c r="X72" s="144"/>
      <c r="Y72" s="257"/>
    </row>
    <row r="73" spans="2:25" hidden="1" outlineLevel="1">
      <c r="B73" s="212" t="s">
        <v>365</v>
      </c>
      <c r="C73" s="252"/>
      <c r="D73" s="252"/>
      <c r="E73" s="252"/>
      <c r="F73" s="252"/>
      <c r="G73" s="252"/>
      <c r="H73" s="252"/>
      <c r="I73" s="253"/>
      <c r="K73" s="254">
        <f t="shared" ref="K73" si="97">C73/K$3</f>
        <v>0</v>
      </c>
      <c r="L73" s="252">
        <f t="shared" ref="L73:L80" si="98">D73/L$3</f>
        <v>0</v>
      </c>
      <c r="M73" s="252">
        <f t="shared" ref="M73:M80" si="99">E73/M$3</f>
        <v>0</v>
      </c>
      <c r="N73" s="252">
        <f t="shared" ref="N73:N80" si="100">F73/N$3</f>
        <v>0</v>
      </c>
      <c r="O73" s="252">
        <f t="shared" ref="O73:O80" si="101">G73/O$3</f>
        <v>0</v>
      </c>
      <c r="P73" s="252">
        <f t="shared" ref="P73:P80" si="102">H73/P$3</f>
        <v>0</v>
      </c>
      <c r="Q73" s="253">
        <f t="shared" ref="Q73:Q80" si="103">I73/Q$3</f>
        <v>0</v>
      </c>
      <c r="S73" s="255">
        <f t="shared" si="94"/>
        <v>0</v>
      </c>
      <c r="T73" s="144">
        <f t="shared" si="94"/>
        <v>0</v>
      </c>
      <c r="U73" s="144">
        <f t="shared" si="94"/>
        <v>0</v>
      </c>
      <c r="V73" s="144">
        <f t="shared" si="94"/>
        <v>0</v>
      </c>
      <c r="W73" s="144">
        <f t="shared" si="94"/>
        <v>0</v>
      </c>
      <c r="X73" s="144">
        <f t="shared" si="94"/>
        <v>0</v>
      </c>
      <c r="Y73" s="257">
        <f t="shared" si="94"/>
        <v>0</v>
      </c>
    </row>
    <row r="74" spans="2:25" hidden="1" outlineLevel="1">
      <c r="B74" s="212" t="s">
        <v>371</v>
      </c>
      <c r="C74" s="252">
        <f>99162+6870</f>
        <v>106032</v>
      </c>
      <c r="D74" s="252">
        <v>78058</v>
      </c>
      <c r="E74" s="252">
        <v>78529</v>
      </c>
      <c r="F74" s="252">
        <v>68988</v>
      </c>
      <c r="G74" s="252">
        <v>50644</v>
      </c>
      <c r="H74" s="252">
        <v>22310</v>
      </c>
      <c r="I74" s="253">
        <v>22100</v>
      </c>
      <c r="K74" s="254">
        <f t="shared" ref="K74:K82" si="104">C74/K$3</f>
        <v>31094.428152492666</v>
      </c>
      <c r="L74" s="252">
        <f t="shared" si="98"/>
        <v>26106.354515050167</v>
      </c>
      <c r="M74" s="252">
        <f t="shared" si="99"/>
        <v>28086.194563662375</v>
      </c>
      <c r="N74" s="252">
        <f t="shared" si="100"/>
        <v>27043.512348098782</v>
      </c>
      <c r="O74" s="252">
        <f t="shared" si="101"/>
        <v>18777.901371894699</v>
      </c>
      <c r="P74" s="252">
        <f t="shared" si="102"/>
        <v>7942.3282306870769</v>
      </c>
      <c r="Q74" s="253">
        <f t="shared" si="103"/>
        <v>7644.413697682463</v>
      </c>
      <c r="S74" s="255">
        <f t="shared" si="94"/>
        <v>4.3305853306894793E-2</v>
      </c>
      <c r="T74" s="144">
        <f t="shared" si="94"/>
        <v>3.5022072187876743E-2</v>
      </c>
      <c r="U74" s="144">
        <f t="shared" si="94"/>
        <v>3.7111793316862089E-2</v>
      </c>
      <c r="V74" s="144">
        <f t="shared" si="94"/>
        <v>3.3635405813501648E-2</v>
      </c>
      <c r="W74" s="144">
        <f t="shared" si="94"/>
        <v>2.864784264390105E-2</v>
      </c>
      <c r="X74" s="144">
        <f t="shared" si="94"/>
        <v>1.4505389620226664E-2</v>
      </c>
      <c r="Y74" s="257">
        <f t="shared" si="94"/>
        <v>1.5467741709710386E-2</v>
      </c>
    </row>
    <row r="75" spans="2:25" hidden="1" outlineLevel="1">
      <c r="B75" s="212" t="s">
        <v>372</v>
      </c>
      <c r="C75" s="252"/>
      <c r="D75" s="252"/>
      <c r="E75" s="252"/>
      <c r="F75" s="252"/>
      <c r="G75" s="252"/>
      <c r="H75" s="252"/>
      <c r="I75" s="253"/>
      <c r="K75" s="254">
        <f t="shared" si="104"/>
        <v>0</v>
      </c>
      <c r="L75" s="252">
        <f t="shared" si="98"/>
        <v>0</v>
      </c>
      <c r="M75" s="252">
        <f t="shared" si="99"/>
        <v>0</v>
      </c>
      <c r="N75" s="252">
        <f t="shared" si="100"/>
        <v>0</v>
      </c>
      <c r="O75" s="252">
        <f t="shared" si="101"/>
        <v>0</v>
      </c>
      <c r="P75" s="252">
        <f t="shared" si="102"/>
        <v>0</v>
      </c>
      <c r="Q75" s="253">
        <f t="shared" si="103"/>
        <v>0</v>
      </c>
      <c r="S75" s="255">
        <f t="shared" si="94"/>
        <v>0</v>
      </c>
      <c r="T75" s="144">
        <f t="shared" si="94"/>
        <v>0</v>
      </c>
      <c r="U75" s="144">
        <f t="shared" si="94"/>
        <v>0</v>
      </c>
      <c r="V75" s="144">
        <f t="shared" si="94"/>
        <v>0</v>
      </c>
      <c r="W75" s="144">
        <f t="shared" si="94"/>
        <v>0</v>
      </c>
      <c r="X75" s="144">
        <f t="shared" si="94"/>
        <v>0</v>
      </c>
      <c r="Y75" s="257">
        <f t="shared" si="94"/>
        <v>0</v>
      </c>
    </row>
    <row r="76" spans="2:25" hidden="1" outlineLevel="1">
      <c r="B76" s="212" t="s">
        <v>373</v>
      </c>
      <c r="C76" s="252"/>
      <c r="D76" s="252">
        <v>12581</v>
      </c>
      <c r="E76" s="252">
        <v>20268</v>
      </c>
      <c r="F76" s="252">
        <v>26186</v>
      </c>
      <c r="G76" s="252">
        <v>19495</v>
      </c>
      <c r="H76" s="252">
        <v>13955</v>
      </c>
      <c r="I76" s="253">
        <v>11443</v>
      </c>
      <c r="K76" s="254">
        <f t="shared" si="104"/>
        <v>0</v>
      </c>
      <c r="L76" s="252">
        <f t="shared" si="98"/>
        <v>4207.6923076923076</v>
      </c>
      <c r="M76" s="252">
        <f t="shared" si="99"/>
        <v>7248.9270386266098</v>
      </c>
      <c r="N76" s="252">
        <f t="shared" si="100"/>
        <v>10264.994119952958</v>
      </c>
      <c r="O76" s="252">
        <f t="shared" si="101"/>
        <v>7228.4019280682242</v>
      </c>
      <c r="P76" s="252">
        <f t="shared" si="102"/>
        <v>4967.9601281594869</v>
      </c>
      <c r="Q76" s="253">
        <f t="shared" si="103"/>
        <v>3958.1459702525076</v>
      </c>
      <c r="S76" s="255">
        <f t="shared" si="94"/>
        <v>0</v>
      </c>
      <c r="T76" s="144">
        <f t="shared" si="94"/>
        <v>5.6446833149155409E-3</v>
      </c>
      <c r="U76" s="144">
        <f t="shared" si="94"/>
        <v>9.5783955856583013E-3</v>
      </c>
      <c r="V76" s="144">
        <f t="shared" si="94"/>
        <v>1.2767100606371458E-2</v>
      </c>
      <c r="W76" s="144">
        <f t="shared" si="94"/>
        <v>1.1027756345131721E-2</v>
      </c>
      <c r="X76" s="144">
        <f t="shared" si="94"/>
        <v>9.073182974014481E-3</v>
      </c>
      <c r="Y76" s="257">
        <f t="shared" si="94"/>
        <v>8.008930696118367E-3</v>
      </c>
    </row>
    <row r="77" spans="2:25" hidden="1" outlineLevel="1">
      <c r="B77" s="212" t="s">
        <v>374</v>
      </c>
      <c r="C77" s="252">
        <f>1120+4269+5697</f>
        <v>11086</v>
      </c>
      <c r="D77" s="252"/>
      <c r="E77" s="252"/>
      <c r="F77" s="252"/>
      <c r="G77" s="252"/>
      <c r="H77" s="252"/>
      <c r="I77" s="253"/>
      <c r="K77" s="254">
        <f t="shared" si="104"/>
        <v>3251.0263929618768</v>
      </c>
      <c r="L77" s="252">
        <f t="shared" si="98"/>
        <v>0</v>
      </c>
      <c r="M77" s="252">
        <f t="shared" si="99"/>
        <v>0</v>
      </c>
      <c r="N77" s="252">
        <f t="shared" si="100"/>
        <v>0</v>
      </c>
      <c r="O77" s="252">
        <f t="shared" si="101"/>
        <v>0</v>
      </c>
      <c r="P77" s="252">
        <f t="shared" si="102"/>
        <v>0</v>
      </c>
      <c r="Q77" s="253">
        <f t="shared" si="103"/>
        <v>0</v>
      </c>
      <c r="S77" s="255">
        <f t="shared" si="94"/>
        <v>4.5277717081657958E-3</v>
      </c>
      <c r="T77" s="144">
        <f t="shared" si="94"/>
        <v>0</v>
      </c>
      <c r="U77" s="144">
        <f t="shared" si="94"/>
        <v>0</v>
      </c>
      <c r="V77" s="144">
        <f t="shared" si="94"/>
        <v>0</v>
      </c>
      <c r="W77" s="144">
        <f t="shared" si="94"/>
        <v>0</v>
      </c>
      <c r="X77" s="144">
        <f t="shared" si="94"/>
        <v>0</v>
      </c>
      <c r="Y77" s="257">
        <f t="shared" si="94"/>
        <v>0</v>
      </c>
    </row>
    <row r="78" spans="2:25" hidden="1" outlineLevel="1">
      <c r="B78" s="212" t="s">
        <v>375</v>
      </c>
      <c r="C78" s="252"/>
      <c r="D78" s="252"/>
      <c r="E78" s="252"/>
      <c r="F78" s="252"/>
      <c r="G78" s="252"/>
      <c r="H78" s="252">
        <v>763</v>
      </c>
      <c r="I78" s="253">
        <v>997</v>
      </c>
      <c r="K78" s="254">
        <f t="shared" si="104"/>
        <v>0</v>
      </c>
      <c r="L78" s="252">
        <f t="shared" si="98"/>
        <v>0</v>
      </c>
      <c r="M78" s="252">
        <f t="shared" si="99"/>
        <v>0</v>
      </c>
      <c r="N78" s="252">
        <f t="shared" si="100"/>
        <v>0</v>
      </c>
      <c r="O78" s="252">
        <f t="shared" si="101"/>
        <v>0</v>
      </c>
      <c r="P78" s="252">
        <f t="shared" si="102"/>
        <v>271.62691349234603</v>
      </c>
      <c r="Q78" s="253">
        <f t="shared" si="103"/>
        <v>344.86336907644414</v>
      </c>
      <c r="S78" s="255">
        <f t="shared" si="94"/>
        <v>0</v>
      </c>
      <c r="T78" s="144">
        <f t="shared" si="94"/>
        <v>0</v>
      </c>
      <c r="U78" s="144">
        <f t="shared" si="94"/>
        <v>0</v>
      </c>
      <c r="V78" s="144">
        <f t="shared" si="94"/>
        <v>0</v>
      </c>
      <c r="W78" s="144">
        <f t="shared" si="94"/>
        <v>0</v>
      </c>
      <c r="X78" s="144">
        <f t="shared" si="94"/>
        <v>4.9608302466306339E-4</v>
      </c>
      <c r="Y78" s="257">
        <f t="shared" si="94"/>
        <v>6.9779812147426491E-4</v>
      </c>
    </row>
    <row r="79" spans="2:25" hidden="1" outlineLevel="1">
      <c r="B79" s="212" t="s">
        <v>376</v>
      </c>
      <c r="C79" s="252"/>
      <c r="D79" s="252"/>
      <c r="E79" s="252"/>
      <c r="F79" s="252"/>
      <c r="G79" s="252"/>
      <c r="H79" s="252">
        <v>4508</v>
      </c>
      <c r="I79" s="253">
        <v>1744</v>
      </c>
      <c r="K79" s="254">
        <f t="shared" si="104"/>
        <v>0</v>
      </c>
      <c r="L79" s="252">
        <f t="shared" si="98"/>
        <v>0</v>
      </c>
      <c r="M79" s="252">
        <f t="shared" si="99"/>
        <v>0</v>
      </c>
      <c r="N79" s="252">
        <f t="shared" si="100"/>
        <v>0</v>
      </c>
      <c r="O79" s="252">
        <f t="shared" si="101"/>
        <v>0</v>
      </c>
      <c r="P79" s="252">
        <f t="shared" si="102"/>
        <v>1604.8415806336773</v>
      </c>
      <c r="Q79" s="253">
        <f t="shared" si="103"/>
        <v>603.25147007955729</v>
      </c>
      <c r="S79" s="255">
        <f t="shared" si="94"/>
        <v>0</v>
      </c>
      <c r="T79" s="144">
        <f t="shared" si="94"/>
        <v>0</v>
      </c>
      <c r="U79" s="144">
        <f t="shared" si="94"/>
        <v>0</v>
      </c>
      <c r="V79" s="144">
        <f t="shared" si="94"/>
        <v>0</v>
      </c>
      <c r="W79" s="144">
        <f t="shared" si="94"/>
        <v>0</v>
      </c>
      <c r="X79" s="144">
        <f t="shared" si="94"/>
        <v>2.9309859438808516E-3</v>
      </c>
      <c r="Y79" s="257">
        <f t="shared" si="94"/>
        <v>1.2206217892187744E-3</v>
      </c>
    </row>
    <row r="80" spans="2:25" hidden="1" outlineLevel="1">
      <c r="B80" s="212" t="s">
        <v>377</v>
      </c>
      <c r="C80" s="252">
        <v>230960</v>
      </c>
      <c r="D80" s="252">
        <v>164333</v>
      </c>
      <c r="E80" s="252">
        <v>209599</v>
      </c>
      <c r="F80" s="252">
        <v>53469</v>
      </c>
      <c r="G80" s="252">
        <v>36695</v>
      </c>
      <c r="H80" s="252">
        <v>13400</v>
      </c>
      <c r="I80" s="253">
        <v>16265</v>
      </c>
      <c r="K80" s="254">
        <f t="shared" si="104"/>
        <v>67730.205278592373</v>
      </c>
      <c r="L80" s="252">
        <f t="shared" si="98"/>
        <v>54960.869565217385</v>
      </c>
      <c r="M80" s="252">
        <f t="shared" si="99"/>
        <v>74963.876967095857</v>
      </c>
      <c r="N80" s="252">
        <f t="shared" si="100"/>
        <v>20960.015680125438</v>
      </c>
      <c r="O80" s="252">
        <f t="shared" si="101"/>
        <v>13605.858361142009</v>
      </c>
      <c r="P80" s="252">
        <f t="shared" si="102"/>
        <v>4770.3809184763259</v>
      </c>
      <c r="Q80" s="253">
        <f t="shared" si="103"/>
        <v>5626.0809408509167</v>
      </c>
      <c r="S80" s="255">
        <f t="shared" si="94"/>
        <v>9.4329257957601678E-2</v>
      </c>
      <c r="T80" s="144">
        <f t="shared" si="94"/>
        <v>7.3730843588746167E-2</v>
      </c>
      <c r="U80" s="144">
        <f t="shared" si="94"/>
        <v>9.9053786084388917E-2</v>
      </c>
      <c r="V80" s="144">
        <f t="shared" si="94"/>
        <v>2.6069048435120885E-2</v>
      </c>
      <c r="W80" s="144">
        <f t="shared" si="94"/>
        <v>2.0757297721703438E-2</v>
      </c>
      <c r="X80" s="144">
        <f t="shared" si="94"/>
        <v>8.7123362129555033E-3</v>
      </c>
      <c r="Y80" s="257">
        <f t="shared" si="94"/>
        <v>1.1383837959657892E-2</v>
      </c>
    </row>
    <row r="81" spans="2:25" collapsed="1">
      <c r="B81" s="209" t="s">
        <v>71</v>
      </c>
      <c r="C81" s="220">
        <f>SUM(C73:C80)*-1</f>
        <v>-348078</v>
      </c>
      <c r="D81" s="220">
        <f t="shared" ref="D81:I81" si="105">SUM(D73:D80)*-1</f>
        <v>-254972</v>
      </c>
      <c r="E81" s="220">
        <f t="shared" si="105"/>
        <v>-308396</v>
      </c>
      <c r="F81" s="220">
        <f t="shared" si="105"/>
        <v>-148643</v>
      </c>
      <c r="G81" s="220">
        <f t="shared" si="105"/>
        <v>-106834</v>
      </c>
      <c r="H81" s="220">
        <f t="shared" si="105"/>
        <v>-54936</v>
      </c>
      <c r="I81" s="221">
        <f t="shared" si="105"/>
        <v>-52549</v>
      </c>
      <c r="J81" s="207"/>
      <c r="K81" s="219">
        <f>SUM(K73:K80)*-1</f>
        <v>-102075.65982404692</v>
      </c>
      <c r="L81" s="1442">
        <f>SUM(L73:L80)*-1</f>
        <v>-85274.916387959864</v>
      </c>
      <c r="M81" s="220">
        <f t="shared" ref="M81:Q81" si="106">SUM(M73:M80)*-1</f>
        <v>-110298.99856938484</v>
      </c>
      <c r="N81" s="220">
        <f t="shared" si="106"/>
        <v>-58268.522148177173</v>
      </c>
      <c r="O81" s="220">
        <f t="shared" si="106"/>
        <v>-39612.161661104932</v>
      </c>
      <c r="P81" s="220">
        <f t="shared" si="106"/>
        <v>-19557.137771448914</v>
      </c>
      <c r="Q81" s="221">
        <f t="shared" si="106"/>
        <v>-18176.755447941887</v>
      </c>
      <c r="S81" s="255">
        <f t="shared" si="94"/>
        <v>-0.14216288297266227</v>
      </c>
      <c r="T81" s="144">
        <f t="shared" si="94"/>
        <v>-0.11439759909153846</v>
      </c>
      <c r="U81" s="144">
        <f t="shared" si="94"/>
        <v>-0.1457439749869093</v>
      </c>
      <c r="V81" s="144">
        <f t="shared" si="94"/>
        <v>-7.2471554854993986E-2</v>
      </c>
      <c r="W81" s="144">
        <f t="shared" si="94"/>
        <v>-6.0432896710736206E-2</v>
      </c>
      <c r="X81" s="144">
        <f t="shared" si="94"/>
        <v>-3.5717977775740567E-2</v>
      </c>
      <c r="Y81" s="257">
        <f t="shared" si="94"/>
        <v>-3.6778930276179678E-2</v>
      </c>
    </row>
    <row r="82" spans="2:25">
      <c r="B82" s="275" t="s">
        <v>378</v>
      </c>
      <c r="C82" s="252">
        <v>-32253</v>
      </c>
      <c r="D82" s="292">
        <v>0</v>
      </c>
      <c r="E82" s="292">
        <v>4812</v>
      </c>
      <c r="F82" s="292">
        <v>1582</v>
      </c>
      <c r="G82" s="292">
        <v>-2352</v>
      </c>
      <c r="H82" s="292">
        <v>-1486</v>
      </c>
      <c r="I82" s="293">
        <v>-627</v>
      </c>
      <c r="J82" s="207"/>
      <c r="K82" s="294">
        <f t="shared" si="104"/>
        <v>-9458.3577712609967</v>
      </c>
      <c r="L82" s="295">
        <f t="shared" ref="L82" si="107">D82/L$3</f>
        <v>0</v>
      </c>
      <c r="M82" s="295">
        <f t="shared" ref="M82" si="108">E82/M$3</f>
        <v>1721.0300429184551</v>
      </c>
      <c r="N82" s="295">
        <f t="shared" ref="N82" si="109">F82/N$3</f>
        <v>620.14896119168952</v>
      </c>
      <c r="O82" s="295">
        <f t="shared" ref="O82" si="110">G82/O$3</f>
        <v>-872.08008898776416</v>
      </c>
      <c r="P82" s="295">
        <f t="shared" ref="P82" si="111">H82/P$3</f>
        <v>-529.01388394446417</v>
      </c>
      <c r="Q82" s="296">
        <f t="shared" ref="Q82" si="112">I82/Q$3</f>
        <v>-216.8799723279142</v>
      </c>
      <c r="S82" s="263">
        <f t="shared" si="94"/>
        <v>-1.3172850523495528E-2</v>
      </c>
      <c r="T82" s="261">
        <f t="shared" si="94"/>
        <v>0</v>
      </c>
      <c r="U82" s="261">
        <f t="shared" si="94"/>
        <v>2.2740891828590759E-3</v>
      </c>
      <c r="V82" s="261">
        <f t="shared" si="94"/>
        <v>7.7131112652866602E-4</v>
      </c>
      <c r="W82" s="261">
        <f t="shared" si="94"/>
        <v>-1.3304582161451557E-3</v>
      </c>
      <c r="X82" s="261">
        <f t="shared" si="94"/>
        <v>-9.6615907555611027E-4</v>
      </c>
      <c r="Y82" s="262">
        <f t="shared" si="94"/>
        <v>-4.3883592995422674E-4</v>
      </c>
    </row>
    <row r="83" spans="2:25" ht="13.5" thickBot="1">
      <c r="B83" s="297" t="s">
        <v>379</v>
      </c>
      <c r="C83" s="298">
        <f t="shared" ref="C83:I83" si="113">+C62+C64+C71+C81+C82</f>
        <v>-129503</v>
      </c>
      <c r="D83" s="298">
        <f t="shared" si="113"/>
        <v>-20463</v>
      </c>
      <c r="E83" s="298">
        <f t="shared" si="113"/>
        <v>-42424</v>
      </c>
      <c r="F83" s="298">
        <f t="shared" si="113"/>
        <v>131802</v>
      </c>
      <c r="G83" s="298">
        <f t="shared" si="113"/>
        <v>66934</v>
      </c>
      <c r="H83" s="298">
        <f t="shared" si="113"/>
        <v>80478</v>
      </c>
      <c r="I83" s="298">
        <f t="shared" si="113"/>
        <v>107699</v>
      </c>
      <c r="J83" s="207"/>
      <c r="K83" s="228">
        <f t="shared" ref="K83:Q83" si="114">+K62+K64+K71+K81+K82</f>
        <v>-37977.419354838872</v>
      </c>
      <c r="L83" s="229">
        <f t="shared" si="114"/>
        <v>-6843.8127090301277</v>
      </c>
      <c r="M83" s="229">
        <f t="shared" si="114"/>
        <v>-15173.104434906885</v>
      </c>
      <c r="N83" s="229">
        <f t="shared" si="114"/>
        <v>51666.79733437876</v>
      </c>
      <c r="O83" s="229">
        <f t="shared" si="114"/>
        <v>24817.945865776754</v>
      </c>
      <c r="P83" s="229">
        <f t="shared" si="114"/>
        <v>28650.053399786513</v>
      </c>
      <c r="Q83" s="230">
        <f t="shared" si="114"/>
        <v>37253.199584918599</v>
      </c>
    </row>
    <row r="84" spans="2:25" ht="13.5" thickTop="1">
      <c r="C84" s="234"/>
      <c r="D84" s="234"/>
      <c r="E84" s="234"/>
      <c r="F84" s="234"/>
      <c r="G84" s="234"/>
      <c r="H84" s="234"/>
      <c r="I84" s="234"/>
      <c r="L84" s="1473"/>
    </row>
    <row r="85" spans="2:25">
      <c r="B85" s="199" t="s">
        <v>72</v>
      </c>
      <c r="C85" s="299">
        <v>41212</v>
      </c>
      <c r="D85" s="299">
        <v>23319</v>
      </c>
      <c r="E85" s="299">
        <v>-29991</v>
      </c>
      <c r="F85" s="299">
        <v>-56474</v>
      </c>
      <c r="G85" s="299">
        <v>-21222</v>
      </c>
      <c r="H85" s="299">
        <v>-32290</v>
      </c>
      <c r="I85" s="299">
        <v>-45499</v>
      </c>
      <c r="J85" s="207"/>
      <c r="K85" s="299">
        <f t="shared" ref="K85" si="115">C85/K$3</f>
        <v>12085.630498533725</v>
      </c>
      <c r="L85" s="299">
        <f t="shared" ref="L85" si="116">D85/L$3</f>
        <v>7798.9966555183937</v>
      </c>
      <c r="M85" s="299">
        <f t="shared" ref="M85" si="117">E85/M$3</f>
        <v>-10726.394849785409</v>
      </c>
      <c r="N85" s="299">
        <f t="shared" ref="N85" si="118">F85/N$3</f>
        <v>-22137.98510388083</v>
      </c>
      <c r="O85" s="299">
        <f t="shared" ref="O85" si="119">G85/O$3</f>
        <v>-7868.7430478309234</v>
      </c>
      <c r="P85" s="299">
        <f t="shared" ref="P85" si="120">H85/P$3</f>
        <v>-11495.194019223922</v>
      </c>
      <c r="Q85" s="299">
        <f t="shared" ref="Q85" si="121">I85/Q$3</f>
        <v>-15738.152888273953</v>
      </c>
    </row>
    <row r="86" spans="2:25" ht="13.5" thickBot="1">
      <c r="B86" s="300" t="s">
        <v>380</v>
      </c>
      <c r="C86" s="301">
        <f t="shared" ref="C86:I86" si="122">+C83+C85</f>
        <v>-88291</v>
      </c>
      <c r="D86" s="301">
        <f t="shared" si="122"/>
        <v>2856</v>
      </c>
      <c r="E86" s="301">
        <f t="shared" si="122"/>
        <v>-72415</v>
      </c>
      <c r="F86" s="301">
        <f t="shared" si="122"/>
        <v>75328</v>
      </c>
      <c r="G86" s="301">
        <f t="shared" si="122"/>
        <v>45712</v>
      </c>
      <c r="H86" s="301">
        <f t="shared" si="122"/>
        <v>48188</v>
      </c>
      <c r="I86" s="301">
        <f t="shared" si="122"/>
        <v>62200</v>
      </c>
      <c r="J86" s="207"/>
      <c r="K86" s="301">
        <f t="shared" ref="K86:Q86" si="123">+K83+K85</f>
        <v>-25891.788856305146</v>
      </c>
      <c r="L86" s="301">
        <f t="shared" si="123"/>
        <v>955.18394648826597</v>
      </c>
      <c r="M86" s="301">
        <f t="shared" si="123"/>
        <v>-25899.499284692294</v>
      </c>
      <c r="N86" s="301">
        <f t="shared" si="123"/>
        <v>29528.81223049793</v>
      </c>
      <c r="O86" s="301">
        <f t="shared" si="123"/>
        <v>16949.202817945828</v>
      </c>
      <c r="P86" s="301">
        <f t="shared" si="123"/>
        <v>17154.859380562593</v>
      </c>
      <c r="Q86" s="301">
        <f t="shared" si="123"/>
        <v>21515.046696644647</v>
      </c>
    </row>
    <row r="87" spans="2:25">
      <c r="K87" s="75"/>
      <c r="L87" s="75"/>
      <c r="M87" s="75"/>
      <c r="N87" s="75"/>
      <c r="O87" s="75"/>
      <c r="P87" s="75"/>
      <c r="Q87" s="75"/>
    </row>
    <row r="88" spans="2:25">
      <c r="K88" s="1493"/>
      <c r="L88" s="1493"/>
      <c r="M88" s="1493"/>
      <c r="N88" s="1493"/>
      <c r="O88" s="1493"/>
      <c r="P88" s="1493"/>
      <c r="Q88" s="1493"/>
    </row>
    <row r="90" spans="2:25">
      <c r="K90" s="75"/>
      <c r="L90" s="75"/>
      <c r="M90" s="75"/>
      <c r="N90" s="75"/>
      <c r="O90" s="75"/>
      <c r="P90" s="75"/>
      <c r="Q90" s="75"/>
    </row>
  </sheetData>
  <mergeCells count="4">
    <mergeCell ref="S3:Y3"/>
    <mergeCell ref="AJ3:AP3"/>
    <mergeCell ref="AR3:AX3"/>
    <mergeCell ref="BI3:BO3"/>
  </mergeCells>
  <pageMargins left="0.7" right="0.7" top="0.75" bottom="0.75" header="0.3" footer="0.3"/>
  <pageSetup paperSize="9" orientation="portrait" verticalDpi="599"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B1:AL115"/>
  <sheetViews>
    <sheetView showGridLines="0" zoomScaleNormal="100" workbookViewId="0">
      <selection activeCell="D3" sqref="D3"/>
    </sheetView>
  </sheetViews>
  <sheetFormatPr baseColWidth="10" defaultRowHeight="12.75" outlineLevelRow="1"/>
  <cols>
    <col min="1" max="1" width="3.5703125" style="62" customWidth="1"/>
    <col min="2" max="2" width="35.85546875" style="62" customWidth="1"/>
    <col min="3" max="9" width="10.7109375" style="234" customWidth="1"/>
    <col min="10" max="10" width="12.28515625" style="62" customWidth="1"/>
    <col min="11" max="11" width="29.7109375" style="62" bestFit="1" customWidth="1"/>
    <col min="12" max="18" width="11.7109375" style="62" customWidth="1"/>
    <col min="19" max="21" width="11.5703125" style="62" customWidth="1"/>
    <col min="22" max="28" width="11.42578125" style="62"/>
    <col min="29" max="29" width="7" style="62" customWidth="1"/>
    <col min="30" max="16384" width="11.42578125" style="62"/>
  </cols>
  <sheetData>
    <row r="1" spans="2:38" ht="20.25">
      <c r="B1" s="1171" t="s">
        <v>696</v>
      </c>
    </row>
    <row r="2" spans="2:38" ht="15.75">
      <c r="B2" s="28" t="s">
        <v>703</v>
      </c>
      <c r="K2" s="1617"/>
      <c r="L2" s="1617"/>
      <c r="M2" s="1617"/>
      <c r="N2" s="1617"/>
      <c r="O2" s="1617"/>
      <c r="P2" s="1617"/>
      <c r="Q2" s="1617"/>
      <c r="R2" s="1617"/>
      <c r="S2" s="1617"/>
      <c r="T2" s="1617"/>
      <c r="U2" s="125"/>
      <c r="V2" s="1618"/>
      <c r="W2" s="1618"/>
      <c r="X2" s="1618"/>
      <c r="Y2" s="1618"/>
      <c r="Z2" s="1618"/>
      <c r="AA2" s="1618"/>
      <c r="AB2" s="1618"/>
      <c r="AC2" s="125"/>
      <c r="AD2" s="1617"/>
      <c r="AE2" s="1617"/>
      <c r="AF2" s="1617"/>
      <c r="AG2" s="1617"/>
      <c r="AH2" s="1617"/>
      <c r="AI2" s="1617"/>
      <c r="AJ2" s="1617"/>
    </row>
    <row r="3" spans="2:38" s="208" customFormat="1">
      <c r="B3" s="302" t="s">
        <v>1405</v>
      </c>
      <c r="C3" s="303">
        <v>2015</v>
      </c>
      <c r="D3" s="303">
        <v>2014</v>
      </c>
      <c r="E3" s="303">
        <v>2013</v>
      </c>
      <c r="F3" s="303">
        <v>2012</v>
      </c>
      <c r="G3" s="303">
        <v>2011</v>
      </c>
      <c r="H3" s="303">
        <v>2010</v>
      </c>
      <c r="I3" s="304">
        <v>2009</v>
      </c>
      <c r="V3" s="132"/>
      <c r="W3" s="132"/>
      <c r="X3" s="132"/>
      <c r="Y3" s="132"/>
      <c r="Z3" s="132"/>
      <c r="AA3" s="132"/>
      <c r="AB3" s="132"/>
      <c r="AC3" s="132"/>
      <c r="AD3" s="132"/>
      <c r="AE3" s="132"/>
      <c r="AF3" s="132"/>
      <c r="AG3" s="132"/>
      <c r="AH3" s="132"/>
      <c r="AI3" s="132"/>
      <c r="AJ3" s="132"/>
      <c r="AL3" s="208" t="s">
        <v>323</v>
      </c>
    </row>
    <row r="4" spans="2:38" hidden="1" outlineLevel="1">
      <c r="B4" s="209" t="s">
        <v>324</v>
      </c>
      <c r="C4" s="220"/>
      <c r="D4" s="220"/>
      <c r="E4" s="220"/>
      <c r="F4" s="220"/>
      <c r="G4" s="220"/>
      <c r="H4" s="220"/>
      <c r="I4" s="221"/>
      <c r="V4" s="125"/>
      <c r="W4" s="125"/>
      <c r="X4" s="125"/>
      <c r="Y4" s="125"/>
      <c r="Z4" s="125"/>
      <c r="AA4" s="125"/>
      <c r="AB4" s="125"/>
      <c r="AC4" s="125"/>
      <c r="AD4" s="125"/>
      <c r="AE4" s="125"/>
      <c r="AF4" s="125"/>
      <c r="AG4" s="125"/>
      <c r="AH4" s="125"/>
      <c r="AI4" s="125"/>
      <c r="AJ4" s="125"/>
    </row>
    <row r="5" spans="2:38" hidden="1" outlineLevel="1">
      <c r="B5" s="212" t="s">
        <v>325</v>
      </c>
      <c r="C5" s="252">
        <f>ER!K6</f>
        <v>631469.20821114362</v>
      </c>
      <c r="D5" s="252">
        <f>ER!L6</f>
        <v>677178.26086956519</v>
      </c>
      <c r="E5" s="252">
        <f>ER!M6</f>
        <v>699553.6480686696</v>
      </c>
      <c r="F5" s="252">
        <f>ER!N6</f>
        <v>738996.86397491174</v>
      </c>
      <c r="G5" s="252">
        <f>ER!O6</f>
        <v>609186.13274008152</v>
      </c>
      <c r="H5" s="252">
        <f>ER!P6</f>
        <v>518819.1527233891</v>
      </c>
      <c r="I5" s="253">
        <f>ER!Q6</f>
        <v>471218.95537876169</v>
      </c>
      <c r="V5" s="144"/>
      <c r="W5" s="144"/>
      <c r="X5" s="144"/>
      <c r="Y5" s="144"/>
      <c r="Z5" s="144"/>
      <c r="AA5" s="144"/>
      <c r="AB5" s="144"/>
      <c r="AC5" s="125"/>
      <c r="AD5" s="144"/>
      <c r="AE5" s="144"/>
      <c r="AF5" s="144"/>
      <c r="AG5" s="144"/>
      <c r="AH5" s="144"/>
      <c r="AI5" s="144"/>
      <c r="AJ5" s="266"/>
      <c r="AL5" s="62" t="s">
        <v>326</v>
      </c>
    </row>
    <row r="6" spans="2:38" hidden="1" outlineLevel="1">
      <c r="B6" s="212" t="s">
        <v>327</v>
      </c>
      <c r="C6" s="252">
        <f>ER!K7</f>
        <v>122002.05278592375</v>
      </c>
      <c r="D6" s="252">
        <f>ER!L7</f>
        <v>119877.25752508361</v>
      </c>
      <c r="E6" s="252">
        <f>ER!M7</f>
        <v>113953.14735336196</v>
      </c>
      <c r="F6" s="252">
        <f>ER!N7</f>
        <v>113355.54684437475</v>
      </c>
      <c r="G6" s="252">
        <f>ER!O7</f>
        <v>73363.366703744905</v>
      </c>
      <c r="H6" s="252">
        <f>ER!P7</f>
        <v>70112.851548593797</v>
      </c>
      <c r="I6" s="253">
        <f>ER!Q7</f>
        <v>53875.129712902111</v>
      </c>
      <c r="V6" s="144"/>
      <c r="W6" s="144"/>
      <c r="X6" s="144"/>
      <c r="Y6" s="144"/>
      <c r="Z6" s="144"/>
      <c r="AA6" s="144"/>
      <c r="AB6" s="144"/>
      <c r="AC6" s="125"/>
      <c r="AD6" s="144"/>
      <c r="AE6" s="144"/>
      <c r="AF6" s="144"/>
      <c r="AG6" s="144"/>
      <c r="AH6" s="144"/>
      <c r="AI6" s="144"/>
      <c r="AJ6" s="266"/>
    </row>
    <row r="7" spans="2:38" hidden="1" outlineLevel="1">
      <c r="B7" s="212" t="s">
        <v>328</v>
      </c>
      <c r="C7" s="252">
        <f>ER!K8</f>
        <v>67589.149560117294</v>
      </c>
      <c r="D7" s="252">
        <f>ER!L8</f>
        <v>73598.327759197316</v>
      </c>
      <c r="E7" s="252">
        <f>ER!M8</f>
        <v>77440.6294706724</v>
      </c>
      <c r="F7" s="252">
        <f>ER!N8</f>
        <v>83265.386123088974</v>
      </c>
      <c r="G7" s="252">
        <f>ER!O8</f>
        <v>88081.201334816462</v>
      </c>
      <c r="H7" s="252">
        <f>ER!P8</f>
        <v>64083.30366678533</v>
      </c>
      <c r="I7" s="253">
        <f>ER!Q8</f>
        <v>61332.065029401594</v>
      </c>
      <c r="V7" s="144"/>
      <c r="W7" s="144"/>
      <c r="X7" s="144"/>
      <c r="Y7" s="144"/>
      <c r="Z7" s="144"/>
      <c r="AA7" s="144"/>
      <c r="AB7" s="144"/>
      <c r="AC7" s="125"/>
      <c r="AD7" s="144"/>
      <c r="AE7" s="144"/>
      <c r="AF7" s="144"/>
      <c r="AG7" s="144"/>
      <c r="AH7" s="144"/>
      <c r="AI7" s="144"/>
      <c r="AJ7" s="266"/>
    </row>
    <row r="8" spans="2:38" hidden="1" outlineLevel="1">
      <c r="B8" s="212" t="s">
        <v>329</v>
      </c>
      <c r="C8" s="252">
        <f>ER!K9</f>
        <v>12270.674486803518</v>
      </c>
      <c r="D8" s="252">
        <f>ER!L9</f>
        <v>13259.53177257525</v>
      </c>
      <c r="E8" s="252">
        <f>ER!M9</f>
        <v>10220.314735336195</v>
      </c>
      <c r="F8" s="252">
        <f>ER!N9</f>
        <v>9462.5637005096032</v>
      </c>
      <c r="G8" s="252">
        <f>ER!O9</f>
        <v>2344.0860215053763</v>
      </c>
      <c r="H8" s="252">
        <f>ER!P9</f>
        <v>11113.563545745816</v>
      </c>
      <c r="I8" s="253">
        <f>ER!Q9</f>
        <v>1350.3977862331374</v>
      </c>
      <c r="V8" s="144"/>
      <c r="W8" s="144"/>
      <c r="X8" s="144"/>
      <c r="Y8" s="144"/>
      <c r="Z8" s="144"/>
      <c r="AA8" s="144"/>
      <c r="AB8" s="144"/>
      <c r="AC8" s="125"/>
      <c r="AD8" s="144"/>
      <c r="AE8" s="144"/>
      <c r="AF8" s="144"/>
      <c r="AG8" s="144"/>
      <c r="AH8" s="144"/>
      <c r="AI8" s="144"/>
      <c r="AJ8" s="266"/>
    </row>
    <row r="9" spans="2:38" hidden="1" outlineLevel="1">
      <c r="B9" s="212" t="s">
        <v>330</v>
      </c>
      <c r="C9" s="252">
        <f>ER!K10</f>
        <v>-115312.02346041055</v>
      </c>
      <c r="D9" s="252">
        <f>ER!L10</f>
        <v>-138487.6254180602</v>
      </c>
      <c r="E9" s="252">
        <f>ER!M10</f>
        <v>-144368.02575107297</v>
      </c>
      <c r="F9" s="252">
        <f>ER!N10</f>
        <v>-141061.15248921991</v>
      </c>
      <c r="G9" s="252">
        <f>ER!O10</f>
        <v>-117501.29773822766</v>
      </c>
      <c r="H9" s="252">
        <f>ER!P10</f>
        <v>-116585.61765752936</v>
      </c>
      <c r="I9" s="253">
        <f>ER!Q10</f>
        <v>-93560.013836042897</v>
      </c>
      <c r="V9" s="144"/>
      <c r="W9" s="144"/>
      <c r="X9" s="144"/>
      <c r="Y9" s="144"/>
      <c r="Z9" s="144"/>
      <c r="AA9" s="144"/>
      <c r="AB9" s="144"/>
      <c r="AC9" s="125"/>
      <c r="AD9" s="144"/>
      <c r="AE9" s="144"/>
      <c r="AF9" s="144"/>
      <c r="AG9" s="144"/>
      <c r="AH9" s="144"/>
      <c r="AI9" s="144"/>
      <c r="AJ9" s="266"/>
    </row>
    <row r="10" spans="2:38" ht="15" hidden="1" outlineLevel="1">
      <c r="B10" s="258" t="s">
        <v>331</v>
      </c>
      <c r="C10" s="220">
        <f>ER!K11</f>
        <v>718019.06158357754</v>
      </c>
      <c r="D10" s="220">
        <f>ER!L11</f>
        <v>745425.75250836113</v>
      </c>
      <c r="E10" s="220">
        <f>ER!M11</f>
        <v>756799.71387696732</v>
      </c>
      <c r="F10" s="220">
        <f>ER!N11</f>
        <v>804019.20815366518</v>
      </c>
      <c r="G10" s="220">
        <f>ER!O11</f>
        <v>655473.48906192067</v>
      </c>
      <c r="H10" s="220">
        <f>ER!P11</f>
        <v>547543.25382698467</v>
      </c>
      <c r="I10" s="221">
        <f>ER!Q11</f>
        <v>494216.53407125553</v>
      </c>
      <c r="V10" s="144"/>
      <c r="W10" s="144"/>
      <c r="X10" s="144"/>
      <c r="Y10" s="144"/>
      <c r="Z10" s="144"/>
      <c r="AA10" s="144"/>
      <c r="AB10" s="144"/>
      <c r="AC10" s="125"/>
      <c r="AD10" s="144"/>
      <c r="AE10" s="144"/>
      <c r="AF10" s="144"/>
      <c r="AG10" s="144"/>
      <c r="AH10" s="144"/>
      <c r="AI10" s="144"/>
      <c r="AJ10" s="266"/>
    </row>
    <row r="11" spans="2:38" hidden="1" outlineLevel="1">
      <c r="B11" s="209" t="s">
        <v>332</v>
      </c>
      <c r="C11" s="220"/>
      <c r="D11" s="220"/>
      <c r="E11" s="220"/>
      <c r="F11" s="220"/>
      <c r="G11" s="220"/>
      <c r="H11" s="220"/>
      <c r="I11" s="221"/>
      <c r="V11" s="266"/>
      <c r="W11" s="266"/>
      <c r="X11" s="266"/>
      <c r="Y11" s="266"/>
      <c r="Z11" s="266"/>
      <c r="AA11" s="266"/>
      <c r="AB11" s="266"/>
      <c r="AC11" s="125"/>
      <c r="AD11" s="266"/>
      <c r="AE11" s="266"/>
      <c r="AF11" s="266"/>
      <c r="AG11" s="266"/>
      <c r="AH11" s="266"/>
      <c r="AI11" s="266"/>
      <c r="AJ11" s="266"/>
    </row>
    <row r="12" spans="2:38" hidden="1" outlineLevel="1">
      <c r="B12" s="212" t="s">
        <v>1708</v>
      </c>
      <c r="C12" s="252">
        <f>ER!K13</f>
        <v>20328.445747800586</v>
      </c>
      <c r="D12" s="252">
        <f>ER!L13</f>
        <v>20902.67558528428</v>
      </c>
      <c r="E12" s="252">
        <f>ER!M13</f>
        <v>22587.267525035768</v>
      </c>
      <c r="F12" s="252">
        <f>ER!N13</f>
        <v>19454.723637789102</v>
      </c>
      <c r="G12" s="252">
        <f>ER!O13</f>
        <v>17915.832406377456</v>
      </c>
      <c r="H12" s="252">
        <f>ER!P13</f>
        <v>11595.585617657529</v>
      </c>
      <c r="I12" s="253">
        <f>ER!Q13</f>
        <v>10285.368384641992</v>
      </c>
      <c r="V12" s="266"/>
      <c r="W12" s="266"/>
      <c r="X12" s="266"/>
      <c r="Y12" s="266"/>
      <c r="Z12" s="266"/>
      <c r="AA12" s="266"/>
      <c r="AB12" s="266"/>
      <c r="AC12" s="125"/>
      <c r="AD12" s="266"/>
      <c r="AE12" s="266"/>
      <c r="AF12" s="266"/>
      <c r="AG12" s="266"/>
      <c r="AH12" s="266"/>
      <c r="AI12" s="266"/>
      <c r="AJ12" s="266"/>
    </row>
    <row r="13" spans="2:38" hidden="1" outlineLevel="1">
      <c r="B13" s="212" t="s">
        <v>335</v>
      </c>
      <c r="C13" s="252">
        <f>ER!K14</f>
        <v>358786.51026392961</v>
      </c>
      <c r="D13" s="252">
        <f>ER!L14</f>
        <v>409856.18729096989</v>
      </c>
      <c r="E13" s="252">
        <f>ER!M14</f>
        <v>406329.39914163091</v>
      </c>
      <c r="F13" s="252">
        <f>ER!N14</f>
        <v>447384.16307330457</v>
      </c>
      <c r="G13" s="252">
        <f>ER!O14</f>
        <v>384292.9180571005</v>
      </c>
      <c r="H13" s="252">
        <f>ER!P14</f>
        <v>317915.27233891061</v>
      </c>
      <c r="I13" s="253">
        <f>ER!Q14</f>
        <v>274915.94603943272</v>
      </c>
      <c r="V13" s="266"/>
      <c r="W13" s="266"/>
      <c r="X13" s="266"/>
      <c r="Y13" s="266"/>
      <c r="Z13" s="266"/>
      <c r="AA13" s="266"/>
      <c r="AB13" s="266"/>
      <c r="AC13" s="125"/>
      <c r="AD13" s="266"/>
      <c r="AE13" s="266"/>
      <c r="AF13" s="266"/>
      <c r="AG13" s="266"/>
      <c r="AH13" s="266"/>
      <c r="AI13" s="266"/>
      <c r="AJ13" s="266"/>
    </row>
    <row r="14" spans="2:38" hidden="1" outlineLevel="1">
      <c r="B14" s="212" t="s">
        <v>336</v>
      </c>
      <c r="C14" s="252">
        <f>ER!K15</f>
        <v>33001.466275659819</v>
      </c>
      <c r="D14" s="252">
        <f>ER!L15</f>
        <v>36777.926421404678</v>
      </c>
      <c r="E14" s="252">
        <f>ER!M15</f>
        <v>35797.210300429186</v>
      </c>
      <c r="F14" s="252">
        <f>ER!N15</f>
        <v>41422.971383771066</v>
      </c>
      <c r="G14" s="252">
        <f>ER!O15</f>
        <v>35828.698553948831</v>
      </c>
      <c r="H14" s="252">
        <f>ER!P15</f>
        <v>29603.061587753647</v>
      </c>
      <c r="I14" s="253">
        <f>ER!Q15</f>
        <v>29694.915254237287</v>
      </c>
      <c r="V14" s="266"/>
      <c r="W14" s="266"/>
      <c r="X14" s="266"/>
      <c r="Y14" s="266"/>
      <c r="Z14" s="266"/>
      <c r="AA14" s="266"/>
      <c r="AB14" s="266"/>
      <c r="AC14" s="125"/>
      <c r="AD14" s="266"/>
      <c r="AE14" s="266"/>
      <c r="AF14" s="266"/>
      <c r="AG14" s="266"/>
      <c r="AH14" s="266"/>
      <c r="AI14" s="266"/>
      <c r="AJ14" s="266"/>
    </row>
    <row r="15" spans="2:38" hidden="1" outlineLevel="1">
      <c r="B15" s="212" t="s">
        <v>337</v>
      </c>
      <c r="C15" s="252">
        <f>ER!K16</f>
        <v>32486.803519061581</v>
      </c>
      <c r="D15" s="252">
        <f>ER!L16</f>
        <v>25470.234113712373</v>
      </c>
      <c r="E15" s="252">
        <f>ER!M16</f>
        <v>34146.28040057225</v>
      </c>
      <c r="F15" s="252">
        <f>ER!N16</f>
        <v>32881.223049784399</v>
      </c>
      <c r="G15" s="252">
        <f>ER!O16</f>
        <v>26950.685947348906</v>
      </c>
      <c r="H15" s="252">
        <f>ER!P16</f>
        <v>23337.130651477393</v>
      </c>
      <c r="I15" s="253">
        <f>ER!Q16</f>
        <v>20173.642338291247</v>
      </c>
      <c r="V15" s="266"/>
      <c r="W15" s="266"/>
      <c r="X15" s="266"/>
      <c r="Y15" s="266"/>
      <c r="Z15" s="266"/>
      <c r="AA15" s="266"/>
      <c r="AB15" s="266"/>
      <c r="AC15" s="125"/>
      <c r="AD15" s="266"/>
      <c r="AE15" s="266"/>
      <c r="AF15" s="266"/>
      <c r="AG15" s="266"/>
      <c r="AH15" s="266"/>
      <c r="AI15" s="266"/>
      <c r="AJ15" s="266"/>
    </row>
    <row r="16" spans="2:38" hidden="1" outlineLevel="1">
      <c r="B16" s="212" t="s">
        <v>338</v>
      </c>
      <c r="C16" s="252">
        <f>ER!K17</f>
        <v>636.95014662756591</v>
      </c>
      <c r="D16" s="252">
        <f>ER!L17</f>
        <v>707.35785953177253</v>
      </c>
      <c r="E16" s="252">
        <f>ER!M17</f>
        <v>802.57510729613739</v>
      </c>
      <c r="F16" s="252">
        <f>ER!N17</f>
        <v>597.41277930223441</v>
      </c>
      <c r="G16" s="252">
        <f>ER!O17</f>
        <v>526.88172043010752</v>
      </c>
      <c r="H16" s="252">
        <f>ER!P17</f>
        <v>507.29797080811676</v>
      </c>
      <c r="I16" s="253">
        <f>ER!Q17</f>
        <v>457.28121757177445</v>
      </c>
      <c r="V16" s="266"/>
      <c r="W16" s="266"/>
      <c r="X16" s="266"/>
      <c r="Y16" s="266"/>
      <c r="Z16" s="266"/>
      <c r="AA16" s="266"/>
      <c r="AB16" s="266"/>
      <c r="AC16" s="125"/>
      <c r="AD16" s="266"/>
      <c r="AE16" s="266"/>
      <c r="AF16" s="266"/>
      <c r="AG16" s="266"/>
      <c r="AH16" s="266"/>
      <c r="AI16" s="266"/>
      <c r="AJ16" s="266"/>
    </row>
    <row r="17" spans="2:36" hidden="1" outlineLevel="1">
      <c r="B17" s="212" t="s">
        <v>1709</v>
      </c>
      <c r="C17" s="252">
        <f>ER!K18</f>
        <v>26652.785923753665</v>
      </c>
      <c r="D17" s="252">
        <f>ER!L18</f>
        <v>26982.274247491638</v>
      </c>
      <c r="E17" s="252">
        <f>ER!M18</f>
        <v>26680.615164520746</v>
      </c>
      <c r="F17" s="252">
        <f>ER!N18</f>
        <v>27168.561348490788</v>
      </c>
      <c r="G17" s="252">
        <f>ER!O18</f>
        <v>21990.359658880236</v>
      </c>
      <c r="H17" s="252">
        <f>ER!P18</f>
        <v>17861.160555357779</v>
      </c>
      <c r="I17" s="253">
        <f>ER!Q18</f>
        <v>16448.287789692149</v>
      </c>
      <c r="V17" s="266"/>
      <c r="W17" s="266"/>
      <c r="X17" s="266"/>
      <c r="Y17" s="266"/>
      <c r="Z17" s="266"/>
      <c r="AA17" s="266"/>
      <c r="AB17" s="266"/>
      <c r="AC17" s="125"/>
      <c r="AD17" s="266"/>
      <c r="AE17" s="266"/>
      <c r="AF17" s="266"/>
      <c r="AG17" s="266"/>
      <c r="AH17" s="266"/>
      <c r="AI17" s="266"/>
      <c r="AJ17" s="266"/>
    </row>
    <row r="18" spans="2:36" hidden="1" outlineLevel="1">
      <c r="B18" s="212" t="s">
        <v>1710</v>
      </c>
      <c r="C18" s="252">
        <f>ER!K19</f>
        <v>30.205278592375365</v>
      </c>
      <c r="D18" s="252">
        <f>ER!L19</f>
        <v>11.036789297658862</v>
      </c>
      <c r="E18" s="252">
        <f>ER!M19</f>
        <v>3.9341917024320461</v>
      </c>
      <c r="F18" s="252">
        <f>ER!N19</f>
        <v>0</v>
      </c>
      <c r="G18" s="252">
        <f>ER!O19</f>
        <v>5.9325176121616607</v>
      </c>
      <c r="H18" s="252">
        <f>ER!P19</f>
        <v>11.747953008187967</v>
      </c>
      <c r="I18" s="253">
        <f>ER!Q19</f>
        <v>1.0377032168799722</v>
      </c>
      <c r="V18" s="266"/>
      <c r="W18" s="266"/>
      <c r="X18" s="266"/>
      <c r="Y18" s="266"/>
      <c r="Z18" s="266"/>
      <c r="AA18" s="266"/>
      <c r="AB18" s="266"/>
      <c r="AC18" s="125"/>
      <c r="AD18" s="266"/>
      <c r="AE18" s="266"/>
      <c r="AF18" s="266"/>
      <c r="AG18" s="266"/>
      <c r="AH18" s="266"/>
      <c r="AI18" s="266"/>
      <c r="AJ18" s="266"/>
    </row>
    <row r="19" spans="2:36" hidden="1" outlineLevel="1">
      <c r="B19" s="212" t="s">
        <v>339</v>
      </c>
      <c r="C19" s="252">
        <f>ER!K20</f>
        <v>2126.9794721407625</v>
      </c>
      <c r="D19" s="252">
        <f>ER!L20</f>
        <v>2130.1003344481605</v>
      </c>
      <c r="E19" s="252">
        <f>ER!M20</f>
        <v>2324.391988555079</v>
      </c>
      <c r="F19" s="252">
        <f>ER!N20</f>
        <v>2393.9631517052135</v>
      </c>
      <c r="G19" s="252">
        <f>ER!O20</f>
        <v>2025.583982202447</v>
      </c>
      <c r="H19" s="252">
        <f>ER!P20</f>
        <v>1868.2805268778923</v>
      </c>
      <c r="I19" s="253">
        <f>ER!Q20</f>
        <v>1669.3185748875821</v>
      </c>
      <c r="V19" s="266"/>
      <c r="W19" s="266"/>
      <c r="X19" s="266"/>
      <c r="Y19" s="266"/>
      <c r="Z19" s="266"/>
      <c r="AA19" s="266"/>
      <c r="AB19" s="266"/>
      <c r="AC19" s="125"/>
      <c r="AD19" s="266"/>
      <c r="AE19" s="266"/>
      <c r="AF19" s="266"/>
      <c r="AG19" s="266"/>
      <c r="AH19" s="266"/>
      <c r="AI19" s="266"/>
      <c r="AJ19" s="266"/>
    </row>
    <row r="20" spans="2:36" hidden="1" outlineLevel="1">
      <c r="B20" s="212" t="s">
        <v>1711</v>
      </c>
      <c r="C20" s="252">
        <f>ER!K21</f>
        <v>-18686.803519061581</v>
      </c>
      <c r="D20" s="252">
        <f>ER!L21</f>
        <v>-23183.946488294314</v>
      </c>
      <c r="E20" s="252">
        <f>ER!M21</f>
        <v>-22353.004291845496</v>
      </c>
      <c r="F20" s="252">
        <f>ER!N21</f>
        <v>-24756.958055664443</v>
      </c>
      <c r="G20" s="252">
        <f>ER!O21</f>
        <v>-18401.55728587319</v>
      </c>
      <c r="H20" s="252">
        <f>ER!P21</f>
        <v>-17201.495194019222</v>
      </c>
      <c r="I20" s="253">
        <f>ER!Q21</f>
        <v>-11266.689726738154</v>
      </c>
      <c r="V20" s="266"/>
      <c r="W20" s="266"/>
      <c r="X20" s="266"/>
      <c r="Y20" s="266"/>
      <c r="Z20" s="266"/>
      <c r="AA20" s="266"/>
      <c r="AB20" s="266"/>
      <c r="AC20" s="125"/>
      <c r="AD20" s="266"/>
      <c r="AE20" s="266"/>
      <c r="AF20" s="266"/>
      <c r="AG20" s="266"/>
      <c r="AH20" s="266"/>
      <c r="AI20" s="266"/>
      <c r="AJ20" s="266"/>
    </row>
    <row r="21" spans="2:36" ht="15" hidden="1" outlineLevel="1">
      <c r="B21" s="258" t="s">
        <v>66</v>
      </c>
      <c r="C21" s="220">
        <f>ER!K22</f>
        <v>455363.34310850437</v>
      </c>
      <c r="D21" s="220">
        <f>ER!L22</f>
        <v>499653.84615384613</v>
      </c>
      <c r="E21" s="220">
        <f>ER!M22</f>
        <v>506318.66952789703</v>
      </c>
      <c r="F21" s="220">
        <f>ER!N22</f>
        <v>546546.06036848284</v>
      </c>
      <c r="G21" s="220">
        <f>ER!O22</f>
        <v>471135.33555802749</v>
      </c>
      <c r="H21" s="220">
        <f>ER!P22</f>
        <v>385498.04200783186</v>
      </c>
      <c r="I21" s="221">
        <f>ER!Q22</f>
        <v>342379.1075752335</v>
      </c>
      <c r="V21" s="266"/>
      <c r="W21" s="266"/>
      <c r="X21" s="266"/>
      <c r="Y21" s="266"/>
      <c r="Z21" s="266"/>
      <c r="AA21" s="266"/>
      <c r="AB21" s="266"/>
      <c r="AC21" s="125"/>
      <c r="AD21" s="266"/>
      <c r="AE21" s="266"/>
      <c r="AF21" s="266"/>
      <c r="AG21" s="266"/>
      <c r="AH21" s="266"/>
      <c r="AI21" s="266"/>
      <c r="AJ21" s="266"/>
    </row>
    <row r="22" spans="2:36" hidden="1" outlineLevel="1">
      <c r="B22" s="227" t="s">
        <v>340</v>
      </c>
      <c r="C22" s="229">
        <f>ER!K23</f>
        <v>262655.71847507317</v>
      </c>
      <c r="D22" s="229">
        <f>ER!L23</f>
        <v>245771.906354515</v>
      </c>
      <c r="E22" s="229">
        <f>ER!M23</f>
        <v>250481.04434907029</v>
      </c>
      <c r="F22" s="229">
        <f>ER!N23</f>
        <v>257473.14778518234</v>
      </c>
      <c r="G22" s="229">
        <f>ER!O23</f>
        <v>184338.15350389318</v>
      </c>
      <c r="H22" s="229">
        <f>ER!P23</f>
        <v>162045.21181915281</v>
      </c>
      <c r="I22" s="230">
        <f>ER!Q23</f>
        <v>151837.42649602203</v>
      </c>
      <c r="V22" s="266"/>
      <c r="W22" s="266"/>
      <c r="X22" s="266"/>
      <c r="Y22" s="266"/>
      <c r="Z22" s="266"/>
      <c r="AA22" s="266"/>
      <c r="AB22" s="266"/>
      <c r="AC22" s="125"/>
      <c r="AD22" s="266"/>
      <c r="AE22" s="266"/>
      <c r="AF22" s="266"/>
      <c r="AG22" s="266"/>
      <c r="AH22" s="266"/>
      <c r="AI22" s="266"/>
      <c r="AJ22" s="266"/>
    </row>
    <row r="23" spans="2:36" hidden="1" outlineLevel="1">
      <c r="B23" s="270"/>
      <c r="C23" s="271">
        <f>ER!K24</f>
        <v>0</v>
      </c>
      <c r="D23" s="271">
        <f>ER!L24</f>
        <v>0</v>
      </c>
      <c r="E23" s="271" t="e">
        <f>ER!#REF!</f>
        <v>#REF!</v>
      </c>
      <c r="F23" s="271" t="e">
        <f>ER!#REF!</f>
        <v>#REF!</v>
      </c>
      <c r="G23" s="271">
        <f>ER!O24</f>
        <v>0</v>
      </c>
      <c r="H23" s="271">
        <f>ER!P24</f>
        <v>0</v>
      </c>
      <c r="I23" s="272">
        <f>ER!Q24</f>
        <v>0</v>
      </c>
      <c r="V23" s="266"/>
      <c r="W23" s="266"/>
      <c r="X23" s="266"/>
      <c r="Y23" s="266"/>
      <c r="Z23" s="266"/>
      <c r="AA23" s="266"/>
      <c r="AB23" s="266"/>
      <c r="AC23" s="125"/>
      <c r="AD23" s="266"/>
      <c r="AE23" s="266"/>
      <c r="AF23" s="266"/>
      <c r="AG23" s="266"/>
      <c r="AH23" s="266"/>
      <c r="AI23" s="266"/>
      <c r="AJ23" s="266"/>
    </row>
    <row r="24" spans="2:36" hidden="1" outlineLevel="1">
      <c r="B24" s="209" t="s">
        <v>341</v>
      </c>
      <c r="C24" s="220">
        <f>ER!K25</f>
        <v>0</v>
      </c>
      <c r="D24" s="220">
        <f>ER!L25</f>
        <v>0</v>
      </c>
      <c r="E24" s="220">
        <f>ER!M25</f>
        <v>0</v>
      </c>
      <c r="F24" s="220">
        <f>ER!N25</f>
        <v>0</v>
      </c>
      <c r="G24" s="220">
        <f>ER!O25</f>
        <v>0</v>
      </c>
      <c r="H24" s="220">
        <f>ER!P25</f>
        <v>0</v>
      </c>
      <c r="I24" s="221">
        <f>ER!Q25</f>
        <v>0</v>
      </c>
      <c r="V24" s="266"/>
      <c r="W24" s="266"/>
      <c r="X24" s="266"/>
      <c r="Y24" s="266"/>
      <c r="Z24" s="266"/>
      <c r="AA24" s="266"/>
      <c r="AB24" s="266"/>
      <c r="AC24" s="125"/>
      <c r="AD24" s="266"/>
      <c r="AE24" s="266"/>
      <c r="AF24" s="266"/>
      <c r="AG24" s="266"/>
      <c r="AH24" s="266"/>
      <c r="AI24" s="266"/>
      <c r="AJ24" s="266"/>
    </row>
    <row r="25" spans="2:36" hidden="1" outlineLevel="1">
      <c r="B25" s="212" t="s">
        <v>336</v>
      </c>
      <c r="C25" s="252">
        <f>ER!K26</f>
        <v>27196.480938416422</v>
      </c>
      <c r="D25" s="252">
        <f>ER!L26</f>
        <v>28747.157190635451</v>
      </c>
      <c r="E25" s="252">
        <f>ER!M26</f>
        <v>25497.138769670961</v>
      </c>
      <c r="F25" s="252">
        <f>ER!N26</f>
        <v>28215.209721677773</v>
      </c>
      <c r="G25" s="252">
        <f>ER!O26</f>
        <v>20833.147942157953</v>
      </c>
      <c r="H25" s="252">
        <f>ER!P26</f>
        <v>15939.124243503025</v>
      </c>
      <c r="I25" s="253">
        <f>ER!Q26</f>
        <v>15682.808716707023</v>
      </c>
      <c r="V25" s="266"/>
      <c r="W25" s="266"/>
      <c r="X25" s="266"/>
      <c r="Y25" s="266"/>
      <c r="Z25" s="266"/>
      <c r="AA25" s="266"/>
      <c r="AB25" s="266"/>
      <c r="AC25" s="125"/>
      <c r="AD25" s="266"/>
      <c r="AE25" s="266"/>
      <c r="AF25" s="266"/>
      <c r="AG25" s="266"/>
      <c r="AH25" s="266"/>
      <c r="AI25" s="266"/>
      <c r="AJ25" s="266"/>
    </row>
    <row r="26" spans="2:36" hidden="1" outlineLevel="1">
      <c r="B26" s="212" t="s">
        <v>337</v>
      </c>
      <c r="C26" s="252">
        <f>ER!K27</f>
        <v>70686.217008797656</v>
      </c>
      <c r="D26" s="252">
        <f>ER!L27</f>
        <v>69727.759197324413</v>
      </c>
      <c r="E26" s="252">
        <f>ER!M27</f>
        <v>71898.426323319029</v>
      </c>
      <c r="F26" s="252">
        <f>ER!N27</f>
        <v>66910.623284986272</v>
      </c>
      <c r="G26" s="252">
        <f>ER!O27</f>
        <v>50076.01038190582</v>
      </c>
      <c r="H26" s="252">
        <f>ER!P27</f>
        <v>42505.873976504088</v>
      </c>
      <c r="I26" s="253">
        <f>ER!Q27</f>
        <v>39160.498097544099</v>
      </c>
      <c r="V26" s="266"/>
      <c r="W26" s="266"/>
      <c r="X26" s="266"/>
      <c r="Y26" s="266"/>
      <c r="Z26" s="266"/>
      <c r="AA26" s="266"/>
      <c r="AB26" s="266"/>
      <c r="AC26" s="125"/>
      <c r="AD26" s="266"/>
      <c r="AE26" s="266"/>
      <c r="AF26" s="266"/>
      <c r="AG26" s="266"/>
      <c r="AH26" s="266"/>
      <c r="AI26" s="266"/>
      <c r="AJ26" s="266"/>
    </row>
    <row r="27" spans="2:36" hidden="1" outlineLevel="1">
      <c r="B27" s="212" t="s">
        <v>343</v>
      </c>
      <c r="C27" s="252">
        <f>ER!K28</f>
        <v>29623.460410557185</v>
      </c>
      <c r="D27" s="252">
        <f>ER!L28</f>
        <v>25363.879598662206</v>
      </c>
      <c r="E27" s="252">
        <f>ER!M28</f>
        <v>33043.633762517886</v>
      </c>
      <c r="F27" s="252">
        <f>ER!N28</f>
        <v>31832.614660917287</v>
      </c>
      <c r="G27" s="252">
        <f>ER!O28</f>
        <v>25873.563218390806</v>
      </c>
      <c r="H27" s="252">
        <f>ER!P28</f>
        <v>22655.393378426485</v>
      </c>
      <c r="I27" s="253">
        <f>ER!Q28</f>
        <v>19186.4406779661</v>
      </c>
      <c r="V27" s="266"/>
      <c r="W27" s="266"/>
      <c r="X27" s="266"/>
      <c r="Y27" s="266"/>
      <c r="Z27" s="266"/>
      <c r="AA27" s="266"/>
      <c r="AB27" s="266"/>
      <c r="AC27" s="125"/>
      <c r="AD27" s="266"/>
      <c r="AE27" s="266"/>
      <c r="AF27" s="266"/>
      <c r="AG27" s="266"/>
      <c r="AH27" s="266"/>
      <c r="AI27" s="266"/>
      <c r="AJ27" s="266"/>
    </row>
    <row r="28" spans="2:36" hidden="1" outlineLevel="1">
      <c r="B28" s="212" t="s">
        <v>338</v>
      </c>
      <c r="C28" s="252">
        <f>ER!K29</f>
        <v>607.91788856304981</v>
      </c>
      <c r="D28" s="252">
        <f>ER!L29</f>
        <v>497.65886287625415</v>
      </c>
      <c r="E28" s="252">
        <f>ER!M29</f>
        <v>540.05722460658092</v>
      </c>
      <c r="F28" s="252">
        <f>ER!N29</f>
        <v>542.532340258722</v>
      </c>
      <c r="G28" s="252">
        <f>ER!O29</f>
        <v>426.39970337411938</v>
      </c>
      <c r="H28" s="252">
        <f>ER!P29</f>
        <v>349.59060163759341</v>
      </c>
      <c r="I28" s="253">
        <f>ER!Q29</f>
        <v>375.64856451054999</v>
      </c>
      <c r="V28" s="266"/>
      <c r="W28" s="266"/>
      <c r="X28" s="266"/>
      <c r="Y28" s="266"/>
      <c r="Z28" s="266"/>
      <c r="AA28" s="266"/>
      <c r="AB28" s="266"/>
      <c r="AC28" s="125"/>
      <c r="AD28" s="266"/>
      <c r="AE28" s="266"/>
      <c r="AF28" s="266"/>
      <c r="AG28" s="266"/>
      <c r="AH28" s="266"/>
      <c r="AI28" s="266"/>
      <c r="AJ28" s="266"/>
    </row>
    <row r="29" spans="2:36" hidden="1" outlineLevel="1">
      <c r="B29" s="212" t="s">
        <v>1709</v>
      </c>
      <c r="C29" s="252">
        <f>ER!K30</f>
        <v>15655.718475073314</v>
      </c>
      <c r="D29" s="252">
        <f>ER!L30</f>
        <v>15735.785953177256</v>
      </c>
      <c r="E29" s="252">
        <f>ER!M30</f>
        <v>14247.138769670959</v>
      </c>
      <c r="F29" s="252">
        <f>ER!N30</f>
        <v>15471.187769502156</v>
      </c>
      <c r="G29" s="252">
        <f>ER!O30</f>
        <v>12484.241750092695</v>
      </c>
      <c r="H29" s="252">
        <f>ER!P30</f>
        <v>7809.8967604129575</v>
      </c>
      <c r="I29" s="253">
        <f>ER!Q30</f>
        <v>5467.3123486682807</v>
      </c>
      <c r="V29" s="266"/>
      <c r="W29" s="266"/>
      <c r="X29" s="266"/>
      <c r="Y29" s="266"/>
      <c r="Z29" s="266"/>
      <c r="AA29" s="266"/>
      <c r="AB29" s="266"/>
      <c r="AC29" s="125"/>
      <c r="AD29" s="266"/>
      <c r="AE29" s="266"/>
      <c r="AF29" s="266"/>
      <c r="AG29" s="266"/>
      <c r="AH29" s="266"/>
      <c r="AI29" s="266"/>
      <c r="AJ29" s="266"/>
    </row>
    <row r="30" spans="2:36" hidden="1" outlineLevel="1">
      <c r="B30" s="212" t="s">
        <v>1710</v>
      </c>
      <c r="C30" s="252">
        <f>ER!K31</f>
        <v>229.61876832844573</v>
      </c>
      <c r="D30" s="252">
        <f>ER!L31</f>
        <v>15.719063545150501</v>
      </c>
      <c r="E30" s="252">
        <f>ER!M31</f>
        <v>0</v>
      </c>
      <c r="F30" s="252">
        <f>ER!N31</f>
        <v>0</v>
      </c>
      <c r="G30" s="252">
        <f>ER!O31</f>
        <v>0</v>
      </c>
      <c r="H30" s="252">
        <f>ER!P31</f>
        <v>0</v>
      </c>
      <c r="I30" s="253">
        <f>ER!Q31</f>
        <v>86.821169145624353</v>
      </c>
      <c r="V30" s="266"/>
      <c r="W30" s="266"/>
      <c r="X30" s="266"/>
      <c r="Y30" s="266"/>
      <c r="Z30" s="266"/>
      <c r="AA30" s="266"/>
      <c r="AB30" s="266"/>
      <c r="AC30" s="125"/>
      <c r="AD30" s="266"/>
      <c r="AE30" s="266"/>
      <c r="AF30" s="266"/>
      <c r="AG30" s="266"/>
      <c r="AH30" s="266"/>
      <c r="AI30" s="266"/>
      <c r="AJ30" s="266"/>
    </row>
    <row r="31" spans="2:36" hidden="1" outlineLevel="1">
      <c r="B31" s="212" t="s">
        <v>339</v>
      </c>
      <c r="C31" s="252">
        <f>ER!K32</f>
        <v>1652.4926686217009</v>
      </c>
      <c r="D31" s="252">
        <f>ER!L32</f>
        <v>1557.5250836120401</v>
      </c>
      <c r="E31" s="252">
        <f>ER!M32</f>
        <v>1805.7939914163092</v>
      </c>
      <c r="F31" s="252">
        <f>ER!N32</f>
        <v>2248.1379851038805</v>
      </c>
      <c r="G31" s="252">
        <f>ER!O32</f>
        <v>2351.130886169818</v>
      </c>
      <c r="H31" s="252">
        <f>ER!P32</f>
        <v>1163.4033463866144</v>
      </c>
      <c r="I31" s="253">
        <f>ER!Q32</f>
        <v>1429.9550328606019</v>
      </c>
      <c r="V31" s="266"/>
      <c r="W31" s="266"/>
      <c r="X31" s="266"/>
      <c r="Y31" s="266"/>
      <c r="Z31" s="266"/>
      <c r="AA31" s="266"/>
      <c r="AB31" s="266"/>
      <c r="AC31" s="125"/>
      <c r="AD31" s="266"/>
      <c r="AE31" s="266"/>
      <c r="AF31" s="266"/>
      <c r="AG31" s="266"/>
      <c r="AH31" s="266"/>
      <c r="AI31" s="266"/>
      <c r="AJ31" s="266"/>
    </row>
    <row r="32" spans="2:36" hidden="1" outlineLevel="1">
      <c r="B32" s="209" t="s">
        <v>341</v>
      </c>
      <c r="C32" s="220">
        <f>ER!K33</f>
        <v>-145651.9061583578</v>
      </c>
      <c r="D32" s="220">
        <f>ER!L33</f>
        <v>-141645.48494983278</v>
      </c>
      <c r="E32" s="220">
        <f>ER!M33</f>
        <v>-147032.18884120174</v>
      </c>
      <c r="F32" s="220">
        <f>ER!N33</f>
        <v>-145220.30576244611</v>
      </c>
      <c r="G32" s="220">
        <f>ER!O33</f>
        <v>-112044.49388209121</v>
      </c>
      <c r="H32" s="220">
        <f>ER!P33</f>
        <v>-90423.282306870766</v>
      </c>
      <c r="I32" s="221">
        <f>ER!Q33</f>
        <v>-81389.484607402279</v>
      </c>
      <c r="V32" s="266"/>
      <c r="W32" s="266"/>
      <c r="X32" s="266"/>
      <c r="Y32" s="266"/>
      <c r="Z32" s="266"/>
      <c r="AA32" s="266"/>
      <c r="AB32" s="266"/>
      <c r="AC32" s="125"/>
      <c r="AD32" s="266"/>
      <c r="AE32" s="266"/>
      <c r="AF32" s="266"/>
      <c r="AG32" s="266"/>
      <c r="AH32" s="266"/>
      <c r="AI32" s="266"/>
      <c r="AJ32" s="266"/>
    </row>
    <row r="33" spans="2:36" hidden="1" outlineLevel="1">
      <c r="B33" s="209" t="s">
        <v>344</v>
      </c>
      <c r="C33" s="220">
        <f>ER!K34</f>
        <v>0</v>
      </c>
      <c r="D33" s="220">
        <f>ER!L34</f>
        <v>0</v>
      </c>
      <c r="E33" s="220">
        <f>ER!M34</f>
        <v>0</v>
      </c>
      <c r="F33" s="220">
        <f>ER!N34</f>
        <v>0</v>
      </c>
      <c r="G33" s="220">
        <f>ER!O34</f>
        <v>0</v>
      </c>
      <c r="H33" s="220">
        <f>ER!P34</f>
        <v>0</v>
      </c>
      <c r="I33" s="221">
        <f>ER!Q34</f>
        <v>0</v>
      </c>
      <c r="V33" s="266"/>
      <c r="W33" s="266"/>
      <c r="X33" s="266"/>
      <c r="Y33" s="266"/>
      <c r="Z33" s="266"/>
      <c r="AA33" s="266"/>
      <c r="AB33" s="266"/>
      <c r="AC33" s="125"/>
      <c r="AD33" s="266"/>
      <c r="AE33" s="266"/>
      <c r="AF33" s="266"/>
      <c r="AG33" s="266"/>
      <c r="AH33" s="266"/>
      <c r="AI33" s="266"/>
      <c r="AJ33" s="266"/>
    </row>
    <row r="34" spans="2:36" hidden="1" outlineLevel="1">
      <c r="B34" s="212" t="s">
        <v>336</v>
      </c>
      <c r="C34" s="252">
        <f>ER!K35</f>
        <v>15907.624633431084</v>
      </c>
      <c r="D34" s="252">
        <f>ER!L35</f>
        <v>16694.983277591971</v>
      </c>
      <c r="E34" s="252">
        <f>ER!M35</f>
        <v>18495.708154506439</v>
      </c>
      <c r="F34" s="252">
        <f>ER!N35</f>
        <v>17274.794198353586</v>
      </c>
      <c r="G34" s="252">
        <f>ER!O35</f>
        <v>11856.878012606599</v>
      </c>
      <c r="H34" s="252">
        <f>ER!P35</f>
        <v>9520.8259166963326</v>
      </c>
      <c r="I34" s="253">
        <f>ER!Q35</f>
        <v>9596.3334486336898</v>
      </c>
      <c r="V34" s="266"/>
      <c r="W34" s="266"/>
      <c r="X34" s="266"/>
      <c r="Y34" s="266"/>
      <c r="Z34" s="266"/>
      <c r="AA34" s="266"/>
      <c r="AB34" s="266"/>
      <c r="AC34" s="125"/>
      <c r="AD34" s="266"/>
      <c r="AE34" s="266"/>
      <c r="AF34" s="266"/>
      <c r="AG34" s="266"/>
      <c r="AH34" s="266"/>
      <c r="AI34" s="266"/>
      <c r="AJ34" s="266"/>
    </row>
    <row r="35" spans="2:36" hidden="1" outlineLevel="1">
      <c r="B35" s="212" t="s">
        <v>337</v>
      </c>
      <c r="C35" s="252">
        <f>ER!K36</f>
        <v>12563.636363636364</v>
      </c>
      <c r="D35" s="252">
        <f>ER!L36</f>
        <v>13863.210702341135</v>
      </c>
      <c r="E35" s="252">
        <f>ER!M36</f>
        <v>15324.39198855508</v>
      </c>
      <c r="F35" s="252">
        <f>ER!N36</f>
        <v>15127.793022344178</v>
      </c>
      <c r="G35" s="252">
        <f>ER!O36</f>
        <v>9977.0114942528726</v>
      </c>
      <c r="H35" s="252">
        <f>ER!P36</f>
        <v>10831.2566749733</v>
      </c>
      <c r="I35" s="253">
        <f>ER!Q36</f>
        <v>8668.2808716707023</v>
      </c>
      <c r="V35" s="266"/>
      <c r="W35" s="266"/>
      <c r="X35" s="266"/>
      <c r="Y35" s="266"/>
      <c r="Z35" s="266"/>
      <c r="AA35" s="266"/>
      <c r="AB35" s="266"/>
      <c r="AC35" s="125"/>
      <c r="AD35" s="266"/>
      <c r="AE35" s="266"/>
      <c r="AF35" s="266"/>
      <c r="AG35" s="266"/>
      <c r="AH35" s="266"/>
      <c r="AI35" s="266"/>
      <c r="AJ35" s="266"/>
    </row>
    <row r="36" spans="2:36" hidden="1" outlineLevel="1">
      <c r="B36" s="212" t="s">
        <v>343</v>
      </c>
      <c r="C36" s="252">
        <f>ER!K37</f>
        <v>0</v>
      </c>
      <c r="D36" s="252">
        <f>ER!L37</f>
        <v>6.3545150501672234</v>
      </c>
      <c r="E36" s="252">
        <f>ER!M37</f>
        <v>0</v>
      </c>
      <c r="F36" s="252">
        <f>ER!N37</f>
        <v>0</v>
      </c>
      <c r="G36" s="252">
        <f>ER!O37</f>
        <v>0</v>
      </c>
      <c r="H36" s="252">
        <f>ER!P37</f>
        <v>0</v>
      </c>
      <c r="I36" s="253">
        <f>ER!Q37</f>
        <v>0</v>
      </c>
      <c r="V36" s="266"/>
      <c r="W36" s="266"/>
      <c r="X36" s="266"/>
      <c r="Y36" s="266"/>
      <c r="Z36" s="266"/>
      <c r="AA36" s="266"/>
      <c r="AB36" s="266"/>
      <c r="AC36" s="125"/>
      <c r="AD36" s="266"/>
      <c r="AE36" s="266"/>
      <c r="AF36" s="266"/>
      <c r="AG36" s="266"/>
      <c r="AH36" s="266"/>
      <c r="AI36" s="266"/>
      <c r="AJ36" s="266"/>
    </row>
    <row r="37" spans="2:36" hidden="1" outlineLevel="1">
      <c r="B37" s="212" t="s">
        <v>338</v>
      </c>
      <c r="C37" s="252">
        <f>ER!K38</f>
        <v>214.07624633431084</v>
      </c>
      <c r="D37" s="252">
        <f>ER!L38</f>
        <v>326.42140468227421</v>
      </c>
      <c r="E37" s="252">
        <f>ER!M38</f>
        <v>133.76251788268956</v>
      </c>
      <c r="F37" s="252">
        <f>ER!N38</f>
        <v>124.26499411995295</v>
      </c>
      <c r="G37" s="252">
        <f>ER!O38</f>
        <v>120.50426399703373</v>
      </c>
      <c r="H37" s="252">
        <f>ER!P38</f>
        <v>128.15948736205056</v>
      </c>
      <c r="I37" s="253">
        <f>ER!Q38</f>
        <v>161.53580076098237</v>
      </c>
      <c r="V37" s="266"/>
      <c r="W37" s="266"/>
      <c r="X37" s="266"/>
      <c r="Y37" s="266"/>
      <c r="Z37" s="266"/>
      <c r="AA37" s="266"/>
      <c r="AB37" s="266"/>
      <c r="AC37" s="125"/>
      <c r="AD37" s="266"/>
      <c r="AE37" s="266"/>
      <c r="AF37" s="266"/>
      <c r="AG37" s="266"/>
      <c r="AH37" s="266"/>
      <c r="AI37" s="266"/>
      <c r="AJ37" s="266"/>
    </row>
    <row r="38" spans="2:36" hidden="1" outlineLevel="1">
      <c r="B38" s="212" t="s">
        <v>1709</v>
      </c>
      <c r="C38" s="252">
        <f>ER!K39</f>
        <v>2003.2258064516129</v>
      </c>
      <c r="D38" s="252">
        <f>ER!L39</f>
        <v>1883.9464882943143</v>
      </c>
      <c r="E38" s="252">
        <f>ER!M39</f>
        <v>1310.4434907010016</v>
      </c>
      <c r="F38" s="252">
        <f>ER!N39</f>
        <v>1274.4021952175617</v>
      </c>
      <c r="G38" s="252">
        <f>ER!O39</f>
        <v>1323.3222098628105</v>
      </c>
      <c r="H38" s="252">
        <f>ER!P39</f>
        <v>1402.2783908864365</v>
      </c>
      <c r="I38" s="253">
        <f>ER!Q39</f>
        <v>1485.2992044275338</v>
      </c>
      <c r="V38" s="266"/>
      <c r="W38" s="266"/>
      <c r="X38" s="266"/>
      <c r="Y38" s="266"/>
      <c r="Z38" s="266"/>
      <c r="AA38" s="266"/>
      <c r="AB38" s="266"/>
      <c r="AC38" s="125"/>
      <c r="AD38" s="266"/>
      <c r="AE38" s="266"/>
      <c r="AF38" s="266"/>
      <c r="AG38" s="266"/>
      <c r="AH38" s="266"/>
      <c r="AI38" s="266"/>
      <c r="AJ38" s="266"/>
    </row>
    <row r="39" spans="2:36" hidden="1" outlineLevel="1">
      <c r="B39" s="212" t="s">
        <v>1710</v>
      </c>
      <c r="C39" s="252">
        <f>ER!K40</f>
        <v>796.77419354838707</v>
      </c>
      <c r="D39" s="252">
        <f>ER!L40</f>
        <v>1666.2207357859531</v>
      </c>
      <c r="E39" s="252">
        <f>ER!M40</f>
        <v>899.85693848354799</v>
      </c>
      <c r="F39" s="252">
        <f>ER!N40</f>
        <v>234.80987847902782</v>
      </c>
      <c r="G39" s="252">
        <f>ER!O40</f>
        <v>341.8613274008157</v>
      </c>
      <c r="H39" s="252">
        <f>ER!P40</f>
        <v>647.9174083303667</v>
      </c>
      <c r="I39" s="253">
        <f>ER!Q40</f>
        <v>450.70909719820133</v>
      </c>
      <c r="V39" s="266"/>
      <c r="W39" s="266"/>
      <c r="X39" s="266"/>
      <c r="Y39" s="266"/>
      <c r="Z39" s="266"/>
      <c r="AA39" s="266"/>
      <c r="AB39" s="266"/>
      <c r="AC39" s="125"/>
      <c r="AD39" s="266"/>
      <c r="AE39" s="266"/>
      <c r="AF39" s="266"/>
      <c r="AG39" s="266"/>
      <c r="AH39" s="266"/>
      <c r="AI39" s="266"/>
      <c r="AJ39" s="266"/>
    </row>
    <row r="40" spans="2:36" hidden="1" outlineLevel="1">
      <c r="B40" s="212" t="s">
        <v>339</v>
      </c>
      <c r="C40" s="252">
        <f>ER!K41</f>
        <v>798.82697947214069</v>
      </c>
      <c r="D40" s="252">
        <f>ER!L41</f>
        <v>692.97658862876244</v>
      </c>
      <c r="E40" s="252">
        <f>ER!M41</f>
        <v>999.28469241773973</v>
      </c>
      <c r="F40" s="252">
        <f>ER!N41</f>
        <v>901.99921599372794</v>
      </c>
      <c r="G40" s="252">
        <f>ER!O41</f>
        <v>657.02632554690399</v>
      </c>
      <c r="H40" s="252">
        <f>ER!P41</f>
        <v>603.06158775364895</v>
      </c>
      <c r="I40" s="253">
        <f>ER!Q41</f>
        <v>648.56451054998274</v>
      </c>
      <c r="V40" s="266"/>
      <c r="W40" s="266"/>
      <c r="X40" s="266"/>
      <c r="Y40" s="266"/>
      <c r="Z40" s="266"/>
      <c r="AA40" s="266"/>
      <c r="AB40" s="266"/>
      <c r="AC40" s="125"/>
      <c r="AD40" s="266"/>
      <c r="AE40" s="266"/>
      <c r="AF40" s="266"/>
      <c r="AG40" s="266"/>
      <c r="AH40" s="266"/>
      <c r="AI40" s="266"/>
      <c r="AJ40" s="266"/>
    </row>
    <row r="41" spans="2:36" hidden="1" outlineLevel="1">
      <c r="B41" s="209" t="s">
        <v>344</v>
      </c>
      <c r="C41" s="220">
        <f>ER!K42</f>
        <v>-32284.1642228739</v>
      </c>
      <c r="D41" s="220">
        <f>ER!L42</f>
        <v>-35134.113712374579</v>
      </c>
      <c r="E41" s="220">
        <f>ER!M42</f>
        <v>-37163.447782546507</v>
      </c>
      <c r="F41" s="220">
        <f>ER!N42</f>
        <v>-34938.063504508034</v>
      </c>
      <c r="G41" s="220">
        <f>ER!O42</f>
        <v>-24276.603633667037</v>
      </c>
      <c r="H41" s="220">
        <f>ER!P42</f>
        <v>-23133.499466002133</v>
      </c>
      <c r="I41" s="221">
        <f>ER!Q42</f>
        <v>-21010.72293324109</v>
      </c>
      <c r="V41" s="266"/>
      <c r="W41" s="266"/>
      <c r="X41" s="266"/>
      <c r="Y41" s="266"/>
      <c r="Z41" s="266"/>
      <c r="AA41" s="266"/>
      <c r="AB41" s="266"/>
      <c r="AC41" s="125"/>
      <c r="AD41" s="266"/>
      <c r="AE41" s="266"/>
      <c r="AF41" s="266"/>
      <c r="AG41" s="266"/>
      <c r="AH41" s="266"/>
      <c r="AI41" s="266"/>
      <c r="AJ41" s="266"/>
    </row>
    <row r="42" spans="2:36" hidden="1" outlineLevel="1">
      <c r="B42" s="209" t="s">
        <v>67</v>
      </c>
      <c r="C42" s="220">
        <f>ER!K43</f>
        <v>0</v>
      </c>
      <c r="D42" s="220">
        <f>ER!L43</f>
        <v>0</v>
      </c>
      <c r="E42" s="220">
        <f>ER!M43</f>
        <v>0</v>
      </c>
      <c r="F42" s="220">
        <f>ER!N43</f>
        <v>0</v>
      </c>
      <c r="G42" s="220">
        <f>ER!O43</f>
        <v>0</v>
      </c>
      <c r="H42" s="220">
        <f>ER!P43</f>
        <v>0</v>
      </c>
      <c r="I42" s="221">
        <f>ER!Q43</f>
        <v>0</v>
      </c>
      <c r="V42" s="266"/>
      <c r="W42" s="266"/>
      <c r="X42" s="266"/>
      <c r="Y42" s="266"/>
      <c r="Z42" s="266"/>
      <c r="AA42" s="266"/>
      <c r="AB42" s="266"/>
      <c r="AC42" s="125"/>
      <c r="AD42" s="266"/>
      <c r="AE42" s="266"/>
      <c r="AF42" s="266"/>
      <c r="AG42" s="266"/>
      <c r="AH42" s="266"/>
      <c r="AI42" s="266"/>
      <c r="AJ42" s="266"/>
    </row>
    <row r="43" spans="2:36" hidden="1" outlineLevel="1">
      <c r="B43" s="212" t="s">
        <v>347</v>
      </c>
      <c r="C43" s="252">
        <f>ER!K44</f>
        <v>1140.4692082111437</v>
      </c>
      <c r="D43" s="252">
        <f>ER!L44</f>
        <v>3613.3779264214045</v>
      </c>
      <c r="E43" s="252">
        <f>ER!M44</f>
        <v>12808.297567954221</v>
      </c>
      <c r="F43" s="252">
        <f>ER!N44</f>
        <v>10036.848294786358</v>
      </c>
      <c r="G43" s="252">
        <f>ER!O44</f>
        <v>9852.4286243974784</v>
      </c>
      <c r="H43" s="252">
        <f>ER!P44</f>
        <v>12332.146671413313</v>
      </c>
      <c r="I43" s="253">
        <f>ER!Q44</f>
        <v>8274.9913524731928</v>
      </c>
      <c r="V43" s="266"/>
      <c r="W43" s="266"/>
      <c r="X43" s="266"/>
      <c r="Y43" s="266"/>
      <c r="Z43" s="266"/>
      <c r="AA43" s="266"/>
      <c r="AB43" s="266"/>
      <c r="AC43" s="125"/>
      <c r="AD43" s="266"/>
      <c r="AE43" s="266"/>
      <c r="AF43" s="266"/>
      <c r="AG43" s="266"/>
      <c r="AH43" s="266"/>
      <c r="AI43" s="266"/>
      <c r="AJ43" s="266"/>
    </row>
    <row r="44" spans="2:36" hidden="1" outlineLevel="1">
      <c r="B44" s="212" t="s">
        <v>348</v>
      </c>
      <c r="C44" s="252">
        <f>ER!K45</f>
        <v>17903.225806451614</v>
      </c>
      <c r="D44" s="252">
        <f>ER!L45</f>
        <v>11874.916387959865</v>
      </c>
      <c r="E44" s="252">
        <f>ER!M45</f>
        <v>18172.38912732475</v>
      </c>
      <c r="F44" s="252">
        <f>ER!N45</f>
        <v>15039.200313602509</v>
      </c>
      <c r="G44" s="252">
        <f>ER!O45</f>
        <v>10321.839080459769</v>
      </c>
      <c r="H44" s="252">
        <f>ER!P45</f>
        <v>3748.3090067639728</v>
      </c>
      <c r="I44" s="253">
        <f>ER!Q45</f>
        <v>9289.1732964372186</v>
      </c>
      <c r="V44" s="266"/>
      <c r="W44" s="266"/>
      <c r="X44" s="266"/>
      <c r="Y44" s="266"/>
      <c r="Z44" s="266"/>
      <c r="AA44" s="266"/>
      <c r="AB44" s="266"/>
      <c r="AC44" s="125"/>
      <c r="AD44" s="266"/>
      <c r="AE44" s="266"/>
      <c r="AF44" s="266"/>
      <c r="AG44" s="266"/>
      <c r="AH44" s="266"/>
      <c r="AI44" s="266"/>
      <c r="AJ44" s="266"/>
    </row>
    <row r="45" spans="2:36" hidden="1" outlineLevel="1">
      <c r="B45" s="212" t="s">
        <v>349</v>
      </c>
      <c r="C45" s="252">
        <f>ER!K46</f>
        <v>4960.1173020527858</v>
      </c>
      <c r="D45" s="252">
        <f>ER!L46</f>
        <v>0</v>
      </c>
      <c r="E45" s="252">
        <f>ER!M46</f>
        <v>0</v>
      </c>
      <c r="F45" s="252">
        <f>ER!N46</f>
        <v>0</v>
      </c>
      <c r="G45" s="252">
        <f>ER!O46</f>
        <v>0</v>
      </c>
      <c r="H45" s="252">
        <f>ER!P46</f>
        <v>0</v>
      </c>
      <c r="I45" s="253">
        <f>ER!Q46</f>
        <v>600.48426150121065</v>
      </c>
      <c r="V45" s="266"/>
      <c r="W45" s="266"/>
      <c r="X45" s="266"/>
      <c r="Y45" s="266"/>
      <c r="Z45" s="266"/>
      <c r="AA45" s="266"/>
      <c r="AB45" s="266"/>
      <c r="AC45" s="125"/>
      <c r="AD45" s="266"/>
      <c r="AE45" s="266"/>
      <c r="AF45" s="266"/>
      <c r="AG45" s="266"/>
      <c r="AH45" s="266"/>
      <c r="AI45" s="266"/>
      <c r="AJ45" s="266"/>
    </row>
    <row r="46" spans="2:36" hidden="1" outlineLevel="1">
      <c r="B46" s="212" t="s">
        <v>350</v>
      </c>
      <c r="C46" s="252">
        <f>ER!K47</f>
        <v>1026.6862170087977</v>
      </c>
      <c r="D46" s="252">
        <f>ER!L47</f>
        <v>516.72240802675583</v>
      </c>
      <c r="E46" s="252">
        <f>ER!M47</f>
        <v>606.93848354792567</v>
      </c>
      <c r="F46" s="252">
        <f>ER!N47</f>
        <v>281.06624852998823</v>
      </c>
      <c r="G46" s="252">
        <f>ER!O47</f>
        <v>338.15350389321469</v>
      </c>
      <c r="H46" s="252">
        <f>ER!P47</f>
        <v>336.4186543253827</v>
      </c>
      <c r="I46" s="253">
        <f>ER!Q47</f>
        <v>213.42096160498099</v>
      </c>
      <c r="V46" s="266"/>
      <c r="W46" s="266"/>
      <c r="X46" s="266"/>
      <c r="Y46" s="266"/>
      <c r="Z46" s="266"/>
      <c r="AA46" s="266"/>
      <c r="AB46" s="266"/>
      <c r="AC46" s="125"/>
      <c r="AD46" s="266"/>
      <c r="AE46" s="266"/>
      <c r="AF46" s="266"/>
      <c r="AG46" s="266"/>
      <c r="AH46" s="266"/>
      <c r="AI46" s="266"/>
      <c r="AJ46" s="266"/>
    </row>
    <row r="47" spans="2:36" hidden="1" outlineLevel="1">
      <c r="B47" s="212" t="s">
        <v>351</v>
      </c>
      <c r="C47" s="252">
        <f>ER!K48</f>
        <v>351.90615835777123</v>
      </c>
      <c r="D47" s="252">
        <f>ER!L48</f>
        <v>48351.170568561873</v>
      </c>
      <c r="E47" s="252">
        <f>ER!M48</f>
        <v>17406.294706723893</v>
      </c>
      <c r="F47" s="252">
        <f>ER!N48</f>
        <v>274.79419835358681</v>
      </c>
      <c r="G47" s="252">
        <f>ER!O48</f>
        <v>2220.6154987022619</v>
      </c>
      <c r="H47" s="252">
        <f>ER!P48</f>
        <v>8113.5635457458166</v>
      </c>
      <c r="I47" s="253">
        <f>ER!Q48</f>
        <v>43.583535108958834</v>
      </c>
      <c r="V47" s="266"/>
      <c r="W47" s="266"/>
      <c r="X47" s="266"/>
      <c r="Y47" s="266"/>
      <c r="Z47" s="266"/>
      <c r="AA47" s="266"/>
      <c r="AB47" s="266"/>
      <c r="AC47" s="125"/>
      <c r="AD47" s="266"/>
      <c r="AE47" s="266"/>
      <c r="AF47" s="266"/>
      <c r="AG47" s="266"/>
      <c r="AH47" s="266"/>
      <c r="AI47" s="266"/>
      <c r="AJ47" s="266"/>
    </row>
    <row r="48" spans="2:36" hidden="1" outlineLevel="1">
      <c r="B48" s="212" t="s">
        <v>352</v>
      </c>
      <c r="C48" s="252">
        <f>ER!K49</f>
        <v>0</v>
      </c>
      <c r="D48" s="252">
        <f>ER!L49</f>
        <v>0</v>
      </c>
      <c r="E48" s="252">
        <f>ER!M49</f>
        <v>0</v>
      </c>
      <c r="F48" s="252">
        <f>ER!N49</f>
        <v>0</v>
      </c>
      <c r="G48" s="252">
        <f>ER!O49</f>
        <v>0</v>
      </c>
      <c r="H48" s="252">
        <f>ER!P49</f>
        <v>0</v>
      </c>
      <c r="I48" s="253">
        <f>ER!Q49</f>
        <v>0</v>
      </c>
      <c r="V48" s="266"/>
      <c r="W48" s="266"/>
      <c r="X48" s="266"/>
      <c r="Y48" s="266"/>
      <c r="Z48" s="266"/>
      <c r="AA48" s="266"/>
      <c r="AB48" s="266"/>
      <c r="AC48" s="125"/>
      <c r="AD48" s="266"/>
      <c r="AE48" s="266"/>
      <c r="AF48" s="266"/>
      <c r="AG48" s="266"/>
      <c r="AH48" s="266"/>
      <c r="AI48" s="266"/>
      <c r="AJ48" s="266"/>
    </row>
    <row r="49" spans="2:36" hidden="1" outlineLevel="1">
      <c r="B49" s="212" t="s">
        <v>353</v>
      </c>
      <c r="C49" s="252">
        <f>ER!K50</f>
        <v>0</v>
      </c>
      <c r="D49" s="252">
        <f>ER!L50</f>
        <v>1569.5652173913043</v>
      </c>
      <c r="E49" s="252">
        <f>ER!M50</f>
        <v>606.93848354792567</v>
      </c>
      <c r="F49" s="252">
        <f>ER!N50</f>
        <v>3651.1172089376714</v>
      </c>
      <c r="G49" s="252">
        <f>ER!O50</f>
        <v>1914.3492769744159</v>
      </c>
      <c r="H49" s="252">
        <f>ER!P50</f>
        <v>96.475614097543598</v>
      </c>
      <c r="I49" s="253">
        <f>ER!Q50</f>
        <v>381.18298166724315</v>
      </c>
      <c r="V49" s="266"/>
      <c r="W49" s="266"/>
      <c r="X49" s="266"/>
      <c r="Y49" s="266"/>
      <c r="Z49" s="266"/>
      <c r="AA49" s="266"/>
      <c r="AB49" s="266"/>
      <c r="AC49" s="125"/>
      <c r="AD49" s="266"/>
      <c r="AE49" s="266"/>
      <c r="AF49" s="266"/>
      <c r="AG49" s="266"/>
      <c r="AH49" s="266"/>
      <c r="AI49" s="266"/>
      <c r="AJ49" s="266"/>
    </row>
    <row r="50" spans="2:36" hidden="1" outlineLevel="1">
      <c r="B50" s="212" t="s">
        <v>354</v>
      </c>
      <c r="C50" s="252">
        <f>ER!K51</f>
        <v>0</v>
      </c>
      <c r="D50" s="252">
        <f>ER!L51</f>
        <v>0</v>
      </c>
      <c r="E50" s="252">
        <f>ER!M51</f>
        <v>0</v>
      </c>
      <c r="F50" s="252">
        <f>ER!N51</f>
        <v>0</v>
      </c>
      <c r="G50" s="252">
        <f>ER!O51</f>
        <v>0</v>
      </c>
      <c r="H50" s="252">
        <f>ER!P51</f>
        <v>0</v>
      </c>
      <c r="I50" s="253">
        <f>ER!Q51</f>
        <v>0</v>
      </c>
      <c r="V50" s="266"/>
      <c r="W50" s="266"/>
      <c r="X50" s="266"/>
      <c r="Y50" s="266"/>
      <c r="Z50" s="266"/>
      <c r="AA50" s="266"/>
      <c r="AB50" s="266"/>
      <c r="AC50" s="125"/>
      <c r="AD50" s="266"/>
      <c r="AE50" s="266"/>
      <c r="AF50" s="266"/>
      <c r="AG50" s="266"/>
      <c r="AH50" s="266"/>
      <c r="AI50" s="266"/>
      <c r="AJ50" s="266"/>
    </row>
    <row r="51" spans="2:36" hidden="1" outlineLevel="1">
      <c r="B51" s="209" t="s">
        <v>67</v>
      </c>
      <c r="C51" s="220">
        <f>ER!K52</f>
        <v>25382.404692082113</v>
      </c>
      <c r="D51" s="220">
        <f>ER!L52</f>
        <v>65925.752508361213</v>
      </c>
      <c r="E51" s="220">
        <f>ER!M52</f>
        <v>49600.858369098714</v>
      </c>
      <c r="F51" s="220">
        <f>ER!N52</f>
        <v>29283.026264210112</v>
      </c>
      <c r="G51" s="220">
        <f>ER!O52</f>
        <v>24647.385984427139</v>
      </c>
      <c r="H51" s="220">
        <f>ER!P52</f>
        <v>24626.91349234603</v>
      </c>
      <c r="I51" s="221">
        <f>ER!Q52</f>
        <v>18802.836388792803</v>
      </c>
      <c r="V51" s="266"/>
      <c r="W51" s="266"/>
      <c r="X51" s="266"/>
      <c r="Y51" s="266"/>
      <c r="Z51" s="266"/>
      <c r="AA51" s="266"/>
      <c r="AB51" s="266"/>
      <c r="AC51" s="125"/>
      <c r="AD51" s="266"/>
      <c r="AE51" s="266"/>
      <c r="AF51" s="266"/>
      <c r="AG51" s="266"/>
      <c r="AH51" s="266"/>
      <c r="AI51" s="266"/>
      <c r="AJ51" s="266"/>
    </row>
    <row r="52" spans="2:36" hidden="1" outlineLevel="1">
      <c r="B52" s="209" t="s">
        <v>68</v>
      </c>
      <c r="C52" s="220">
        <f>ER!K53</f>
        <v>0</v>
      </c>
      <c r="D52" s="220">
        <f>ER!L53</f>
        <v>0</v>
      </c>
      <c r="E52" s="220">
        <f>ER!M53</f>
        <v>0</v>
      </c>
      <c r="F52" s="220">
        <f>ER!N53</f>
        <v>0</v>
      </c>
      <c r="G52" s="220">
        <f>ER!O53</f>
        <v>0</v>
      </c>
      <c r="H52" s="220">
        <f>ER!P53</f>
        <v>0</v>
      </c>
      <c r="I52" s="221">
        <f>ER!Q53</f>
        <v>0</v>
      </c>
      <c r="V52" s="266"/>
      <c r="W52" s="266"/>
      <c r="X52" s="266"/>
      <c r="Y52" s="266"/>
      <c r="Z52" s="266"/>
      <c r="AA52" s="266"/>
      <c r="AB52" s="266"/>
      <c r="AC52" s="125"/>
      <c r="AD52" s="266"/>
      <c r="AE52" s="266"/>
      <c r="AF52" s="266"/>
      <c r="AG52" s="266"/>
      <c r="AH52" s="266"/>
      <c r="AI52" s="266"/>
      <c r="AJ52" s="266"/>
    </row>
    <row r="53" spans="2:36" hidden="1" outlineLevel="1">
      <c r="B53" s="212" t="s">
        <v>356</v>
      </c>
      <c r="C53" s="252">
        <f>ER!K54</f>
        <v>11384.457478005865</v>
      </c>
      <c r="D53" s="252">
        <f>ER!L54</f>
        <v>19733.779264214045</v>
      </c>
      <c r="E53" s="252">
        <f>ER!M54</f>
        <v>11305.43633762518</v>
      </c>
      <c r="F53" s="252">
        <f>ER!N54</f>
        <v>12054.096432771461</v>
      </c>
      <c r="G53" s="252">
        <f>ER!O54</f>
        <v>9868.7430478309234</v>
      </c>
      <c r="H53" s="252">
        <f>ER!P54</f>
        <v>9445.3542185831247</v>
      </c>
      <c r="I53" s="253">
        <f>ER!Q54</f>
        <v>8089.2424766516779</v>
      </c>
      <c r="V53" s="266"/>
      <c r="W53" s="266"/>
      <c r="X53" s="266"/>
      <c r="Y53" s="266"/>
      <c r="Z53" s="266"/>
      <c r="AA53" s="266"/>
      <c r="AB53" s="266"/>
      <c r="AC53" s="125"/>
      <c r="AD53" s="266"/>
      <c r="AE53" s="266"/>
      <c r="AF53" s="266"/>
      <c r="AG53" s="266"/>
      <c r="AH53" s="266"/>
      <c r="AI53" s="266"/>
      <c r="AJ53" s="266"/>
    </row>
    <row r="54" spans="2:36" hidden="1" outlineLevel="1">
      <c r="B54" s="212" t="s">
        <v>357</v>
      </c>
      <c r="C54" s="252">
        <f>ER!K56</f>
        <v>14719.354838709676</v>
      </c>
      <c r="D54" s="252">
        <f>ER!L56</f>
        <v>13365.551839464883</v>
      </c>
      <c r="E54" s="252">
        <f>ER!M56</f>
        <v>16500.715307582261</v>
      </c>
      <c r="F54" s="252">
        <f>ER!N56</f>
        <v>17017.640141121126</v>
      </c>
      <c r="G54" s="252">
        <f>ER!O56</f>
        <v>5545.7916203188724</v>
      </c>
      <c r="H54" s="252">
        <f>ER!P56</f>
        <v>7088.6436454254181</v>
      </c>
      <c r="I54" s="253">
        <f>ER!Q56</f>
        <v>7495.3303355240405</v>
      </c>
      <c r="V54" s="266"/>
      <c r="W54" s="266"/>
      <c r="X54" s="266"/>
      <c r="Y54" s="266"/>
      <c r="Z54" s="266"/>
      <c r="AA54" s="266"/>
      <c r="AB54" s="266"/>
      <c r="AC54" s="125"/>
      <c r="AD54" s="266"/>
      <c r="AE54" s="266"/>
      <c r="AF54" s="266"/>
      <c r="AG54" s="266"/>
      <c r="AH54" s="266"/>
      <c r="AI54" s="266"/>
      <c r="AJ54" s="266"/>
    </row>
    <row r="55" spans="2:36" hidden="1" outlineLevel="1">
      <c r="B55" s="212" t="s">
        <v>358</v>
      </c>
      <c r="C55" s="252">
        <f>ER!K57</f>
        <v>3439.0029325513196</v>
      </c>
      <c r="D55" s="252">
        <f>ER!L57</f>
        <v>2168.8963210702341</v>
      </c>
      <c r="E55" s="252">
        <f>ER!M57</f>
        <v>2380.9012875536482</v>
      </c>
      <c r="F55" s="252">
        <f>ER!N57</f>
        <v>1978.4398275186199</v>
      </c>
      <c r="G55" s="252">
        <f>ER!O57</f>
        <v>984.05635891731549</v>
      </c>
      <c r="H55" s="252">
        <f>ER!P57</f>
        <v>10537.913848344606</v>
      </c>
      <c r="I55" s="253">
        <f>ER!Q57</f>
        <v>7138.7063299896226</v>
      </c>
      <c r="V55" s="266"/>
      <c r="W55" s="266"/>
      <c r="X55" s="266"/>
      <c r="Y55" s="266"/>
      <c r="Z55" s="266"/>
      <c r="AA55" s="266"/>
      <c r="AB55" s="266"/>
      <c r="AC55" s="125"/>
      <c r="AD55" s="266"/>
      <c r="AE55" s="266"/>
      <c r="AF55" s="266"/>
      <c r="AG55" s="266"/>
      <c r="AH55" s="266"/>
      <c r="AI55" s="266"/>
      <c r="AJ55" s="266"/>
    </row>
    <row r="56" spans="2:36" hidden="1" outlineLevel="1">
      <c r="B56" s="212" t="s">
        <v>359</v>
      </c>
      <c r="C56" s="252">
        <f>ER!K58</f>
        <v>1411.4369501466274</v>
      </c>
      <c r="D56" s="252">
        <f>ER!L58</f>
        <v>4229.7658862876251</v>
      </c>
      <c r="E56" s="252">
        <f>ER!M58</f>
        <v>9537.5536480686696</v>
      </c>
      <c r="F56" s="252">
        <f>ER!N58</f>
        <v>3298.7063896511172</v>
      </c>
      <c r="G56" s="252">
        <f>ER!O58</f>
        <v>2175.3800519095289</v>
      </c>
      <c r="H56" s="252">
        <f>ER!P58</f>
        <v>987.54004983980053</v>
      </c>
      <c r="I56" s="253">
        <f>ER!Q58</f>
        <v>4851.2625389138702</v>
      </c>
      <c r="V56" s="266"/>
      <c r="W56" s="266"/>
      <c r="X56" s="266"/>
      <c r="Y56" s="266"/>
      <c r="Z56" s="266"/>
      <c r="AA56" s="266"/>
      <c r="AB56" s="266"/>
      <c r="AC56" s="125"/>
      <c r="AD56" s="266"/>
      <c r="AE56" s="266"/>
      <c r="AF56" s="266"/>
      <c r="AG56" s="266"/>
      <c r="AH56" s="266"/>
      <c r="AI56" s="266"/>
      <c r="AJ56" s="266"/>
    </row>
    <row r="57" spans="2:36" hidden="1" outlineLevel="1">
      <c r="B57" s="212" t="s">
        <v>360</v>
      </c>
      <c r="C57" s="252">
        <f>ER!K59</f>
        <v>551.31964809384158</v>
      </c>
      <c r="D57" s="252">
        <f>ER!L59</f>
        <v>35542.140468227422</v>
      </c>
      <c r="E57" s="252">
        <f>ER!M59</f>
        <v>8287.9113018598</v>
      </c>
      <c r="F57" s="252">
        <f>ER!N59</f>
        <v>1304.1944335554683</v>
      </c>
      <c r="G57" s="252">
        <f>ER!O59</f>
        <v>1126.4367816091954</v>
      </c>
      <c r="H57" s="252">
        <f>ER!P59</f>
        <v>5555.3577785688858</v>
      </c>
      <c r="I57" s="253">
        <f>ER!Q59</f>
        <v>468.35005188516084</v>
      </c>
      <c r="V57" s="266"/>
      <c r="W57" s="266"/>
      <c r="X57" s="266"/>
      <c r="Y57" s="266"/>
      <c r="Z57" s="266"/>
      <c r="AA57" s="266"/>
      <c r="AB57" s="266"/>
      <c r="AC57" s="125"/>
      <c r="AD57" s="266"/>
      <c r="AE57" s="266"/>
      <c r="AF57" s="266"/>
      <c r="AG57" s="266"/>
      <c r="AH57" s="266"/>
      <c r="AI57" s="266"/>
      <c r="AJ57" s="266"/>
    </row>
    <row r="58" spans="2:36" hidden="1" outlineLevel="1">
      <c r="B58" s="212" t="s">
        <v>361</v>
      </c>
      <c r="C58" s="252">
        <f>ER!K60</f>
        <v>533.43108504398822</v>
      </c>
      <c r="D58" s="252">
        <f>ER!L60</f>
        <v>2628.0936454849498</v>
      </c>
      <c r="E58" s="252">
        <f>ER!M60</f>
        <v>12390.200286123034</v>
      </c>
      <c r="F58" s="252">
        <f>ER!N60</f>
        <v>9836.1426891415122</v>
      </c>
      <c r="G58" s="252">
        <f>ER!O60</f>
        <v>9878.7541713014452</v>
      </c>
      <c r="H58" s="252">
        <f>ER!P60</f>
        <v>0</v>
      </c>
      <c r="I58" s="253">
        <f>ER!Q60</f>
        <v>0</v>
      </c>
      <c r="V58" s="266"/>
      <c r="W58" s="266"/>
      <c r="X58" s="266"/>
      <c r="Y58" s="266"/>
      <c r="Z58" s="266"/>
      <c r="AA58" s="266"/>
      <c r="AB58" s="266"/>
      <c r="AC58" s="125"/>
      <c r="AD58" s="266"/>
      <c r="AE58" s="266"/>
      <c r="AF58" s="266"/>
      <c r="AG58" s="266"/>
      <c r="AH58" s="266"/>
      <c r="AI58" s="266"/>
      <c r="AJ58" s="266"/>
    </row>
    <row r="59" spans="2:36" hidden="1" outlineLevel="1">
      <c r="B59" s="275" t="s">
        <v>68</v>
      </c>
      <c r="C59" s="276">
        <f>ER!K61</f>
        <v>-44915.249266862163</v>
      </c>
      <c r="D59" s="276">
        <f>ER!L61</f>
        <v>-77668.227424749144</v>
      </c>
      <c r="E59" s="276">
        <f>ER!M61</f>
        <v>-60402.7181688126</v>
      </c>
      <c r="F59" s="276">
        <f>ER!N61</f>
        <v>-45489.219913759298</v>
      </c>
      <c r="G59" s="276">
        <f>ER!O61</f>
        <v>-29579.162031887281</v>
      </c>
      <c r="H59" s="276">
        <f>ER!P61</f>
        <v>-33614.809540761831</v>
      </c>
      <c r="I59" s="277">
        <f>ER!Q61</f>
        <v>-28042.891732964374</v>
      </c>
      <c r="V59" s="266"/>
      <c r="W59" s="266"/>
      <c r="X59" s="266"/>
      <c r="Y59" s="266"/>
      <c r="Z59" s="266"/>
      <c r="AA59" s="266"/>
      <c r="AB59" s="266"/>
      <c r="AC59" s="125"/>
      <c r="AD59" s="266"/>
      <c r="AE59" s="266"/>
      <c r="AF59" s="266"/>
      <c r="AG59" s="266"/>
      <c r="AH59" s="266"/>
      <c r="AI59" s="266"/>
      <c r="AJ59" s="266"/>
    </row>
    <row r="60" spans="2:36" hidden="1" outlineLevel="1">
      <c r="B60" s="279" t="s">
        <v>362</v>
      </c>
      <c r="C60" s="280">
        <f>ER!K62</f>
        <v>65186.803519061425</v>
      </c>
      <c r="D60" s="280">
        <f>ER!L62</f>
        <v>57249.832775919698</v>
      </c>
      <c r="E60" s="280">
        <f>ER!M62</f>
        <v>55483.547925608145</v>
      </c>
      <c r="F60" s="280">
        <f>ER!N62</f>
        <v>61108.584868679027</v>
      </c>
      <c r="G60" s="280">
        <f>ER!O62</f>
        <v>43085.279940674787</v>
      </c>
      <c r="H60" s="280">
        <f>ER!P62</f>
        <v>39500.53399786412</v>
      </c>
      <c r="I60" s="280">
        <f>ER!Q62</f>
        <v>40197.163611207085</v>
      </c>
      <c r="V60" s="125"/>
      <c r="W60" s="125"/>
      <c r="X60" s="125"/>
      <c r="Y60" s="125"/>
      <c r="Z60" s="125"/>
      <c r="AA60" s="125"/>
      <c r="AB60" s="125"/>
      <c r="AC60" s="125"/>
      <c r="AD60" s="125"/>
      <c r="AE60" s="125"/>
      <c r="AF60" s="125"/>
      <c r="AG60" s="125"/>
      <c r="AH60" s="125"/>
      <c r="AI60" s="125"/>
      <c r="AJ60" s="125"/>
    </row>
    <row r="61" spans="2:36" hidden="1" outlineLevel="1">
      <c r="B61" s="270" t="s">
        <v>678</v>
      </c>
      <c r="C61" s="305">
        <f>ER!K63</f>
        <v>9.0787009714328695E-2</v>
      </c>
      <c r="D61" s="284">
        <f>ER!L63</f>
        <v>7.6801522597352914E-2</v>
      </c>
      <c r="E61" s="284">
        <f>ER!M63</f>
        <v>7.3313383856046341E-2</v>
      </c>
      <c r="F61" s="284">
        <f>ER!N63</f>
        <v>7.6003886784008115E-2</v>
      </c>
      <c r="G61" s="284">
        <f>ER!O63</f>
        <v>6.5731537063895881E-2</v>
      </c>
      <c r="H61" s="284">
        <f>ER!P63</f>
        <v>7.2141394714993035E-2</v>
      </c>
      <c r="I61" s="285">
        <f>ER!Q63</f>
        <v>8.1335125071739317E-2</v>
      </c>
      <c r="V61" s="125"/>
      <c r="W61" s="125"/>
      <c r="X61" s="125"/>
      <c r="Y61" s="125"/>
      <c r="Z61" s="125"/>
      <c r="AA61" s="125"/>
      <c r="AB61" s="125"/>
      <c r="AC61" s="125"/>
      <c r="AD61" s="125"/>
      <c r="AE61" s="125"/>
      <c r="AF61" s="125"/>
      <c r="AG61" s="125"/>
      <c r="AH61" s="125"/>
      <c r="AI61" s="125"/>
      <c r="AJ61" s="125"/>
    </row>
    <row r="62" spans="2:36" hidden="1" outlineLevel="1">
      <c r="B62" s="209" t="s">
        <v>69</v>
      </c>
      <c r="C62" s="287">
        <f>ER!K64</f>
        <v>0</v>
      </c>
      <c r="D62" s="287">
        <f>ER!L64</f>
        <v>0</v>
      </c>
      <c r="E62" s="287">
        <f>ER!M64</f>
        <v>0</v>
      </c>
      <c r="F62" s="287">
        <f>ER!N64</f>
        <v>0</v>
      </c>
      <c r="G62" s="287">
        <f>ER!O64</f>
        <v>0</v>
      </c>
      <c r="H62" s="287">
        <f>ER!P64</f>
        <v>0</v>
      </c>
      <c r="I62" s="288">
        <f>ER!Q64</f>
        <v>0</v>
      </c>
      <c r="V62" s="125"/>
      <c r="W62" s="125"/>
      <c r="X62" s="125"/>
      <c r="Y62" s="125"/>
      <c r="Z62" s="125"/>
      <c r="AA62" s="125"/>
      <c r="AB62" s="125"/>
      <c r="AC62" s="125"/>
      <c r="AD62" s="125"/>
      <c r="AE62" s="125"/>
      <c r="AF62" s="125"/>
      <c r="AG62" s="125"/>
      <c r="AH62" s="125"/>
      <c r="AI62" s="125"/>
      <c r="AJ62" s="125"/>
    </row>
    <row r="63" spans="2:36" hidden="1" outlineLevel="1">
      <c r="B63" s="209" t="s">
        <v>70</v>
      </c>
      <c r="C63" s="220">
        <f>ER!K65</f>
        <v>0</v>
      </c>
      <c r="D63" s="220">
        <f>ER!L65</f>
        <v>0</v>
      </c>
      <c r="E63" s="220">
        <f>ER!M65</f>
        <v>0</v>
      </c>
      <c r="F63" s="220">
        <f>ER!N65</f>
        <v>0</v>
      </c>
      <c r="G63" s="220">
        <f>ER!O65</f>
        <v>0</v>
      </c>
      <c r="H63" s="220">
        <f>ER!P65</f>
        <v>0</v>
      </c>
      <c r="I63" s="221">
        <f>ER!Q65</f>
        <v>0</v>
      </c>
      <c r="V63" s="125"/>
      <c r="W63" s="125"/>
      <c r="X63" s="125"/>
      <c r="Y63" s="125"/>
      <c r="Z63" s="125"/>
      <c r="AA63" s="125"/>
      <c r="AB63" s="125"/>
      <c r="AC63" s="125"/>
      <c r="AD63" s="125"/>
      <c r="AE63" s="125"/>
      <c r="AF63" s="125"/>
      <c r="AG63" s="125"/>
      <c r="AH63" s="125"/>
      <c r="AI63" s="125"/>
      <c r="AJ63" s="125"/>
    </row>
    <row r="64" spans="2:36" hidden="1" outlineLevel="1">
      <c r="B64" s="212" t="s">
        <v>365</v>
      </c>
      <c r="C64" s="252">
        <f>ER!K66</f>
        <v>0</v>
      </c>
      <c r="D64" s="252">
        <f>ER!L66</f>
        <v>0</v>
      </c>
      <c r="E64" s="252">
        <f>ER!M66</f>
        <v>1025.7510729613734</v>
      </c>
      <c r="F64" s="252">
        <f>ER!N66</f>
        <v>2293.6103488827907</v>
      </c>
      <c r="G64" s="252">
        <f>ER!O66</f>
        <v>0</v>
      </c>
      <c r="H64" s="252">
        <f>ER!P66</f>
        <v>0</v>
      </c>
      <c r="I64" s="253">
        <f>ER!Q66</f>
        <v>0</v>
      </c>
      <c r="V64" s="125"/>
      <c r="W64" s="125"/>
      <c r="X64" s="125"/>
      <c r="Y64" s="125"/>
      <c r="Z64" s="125"/>
      <c r="AA64" s="125"/>
      <c r="AB64" s="125"/>
      <c r="AC64" s="125"/>
      <c r="AD64" s="125"/>
      <c r="AE64" s="125"/>
      <c r="AF64" s="125"/>
      <c r="AG64" s="125"/>
      <c r="AH64" s="125"/>
      <c r="AI64" s="125"/>
      <c r="AJ64" s="125"/>
    </row>
    <row r="65" spans="2:36" hidden="1" outlineLevel="1">
      <c r="B65" s="212" t="s">
        <v>366</v>
      </c>
      <c r="C65" s="252">
        <f>ER!K67</f>
        <v>751.90615835777123</v>
      </c>
      <c r="D65" s="252">
        <f>ER!L67</f>
        <v>860.20066889632096</v>
      </c>
      <c r="E65" s="252">
        <f>ER!M67</f>
        <v>2945.994277539342</v>
      </c>
      <c r="F65" s="252">
        <f>ER!N67</f>
        <v>2026.6562132497058</v>
      </c>
      <c r="G65" s="252">
        <f>ER!O67</f>
        <v>824.24916573971075</v>
      </c>
      <c r="H65" s="252">
        <f>ER!P67</f>
        <v>1736.9170523317905</v>
      </c>
      <c r="I65" s="253">
        <f>ER!Q67</f>
        <v>1076.790038049118</v>
      </c>
      <c r="V65" s="125"/>
      <c r="W65" s="125"/>
      <c r="X65" s="125"/>
      <c r="Y65" s="125"/>
      <c r="Z65" s="125"/>
      <c r="AA65" s="125"/>
      <c r="AB65" s="125"/>
      <c r="AC65" s="125"/>
      <c r="AD65" s="125"/>
      <c r="AE65" s="125"/>
      <c r="AF65" s="125"/>
      <c r="AG65" s="125"/>
      <c r="AH65" s="125"/>
      <c r="AI65" s="125"/>
      <c r="AJ65" s="125"/>
    </row>
    <row r="66" spans="2:36" hidden="1" outlineLevel="1">
      <c r="B66" s="212" t="s">
        <v>367</v>
      </c>
      <c r="C66" s="252">
        <f>ER!K68</f>
        <v>0</v>
      </c>
      <c r="D66" s="252">
        <f>ER!L68</f>
        <v>0</v>
      </c>
      <c r="E66" s="252">
        <f>ER!M68</f>
        <v>0</v>
      </c>
      <c r="F66" s="252">
        <f>ER!N68</f>
        <v>368.87495099960796</v>
      </c>
      <c r="G66" s="252">
        <f>ER!O68</f>
        <v>886.91138301816829</v>
      </c>
      <c r="H66" s="252">
        <f>ER!P68</f>
        <v>0</v>
      </c>
      <c r="I66" s="253">
        <f>ER!Q68</f>
        <v>0</v>
      </c>
      <c r="V66" s="125"/>
      <c r="W66" s="125"/>
      <c r="X66" s="125"/>
      <c r="Y66" s="125"/>
      <c r="Z66" s="125"/>
      <c r="AA66" s="125"/>
      <c r="AB66" s="125"/>
      <c r="AC66" s="125"/>
      <c r="AD66" s="125"/>
      <c r="AE66" s="125"/>
      <c r="AF66" s="125"/>
      <c r="AG66" s="125"/>
      <c r="AH66" s="125"/>
      <c r="AI66" s="125"/>
      <c r="AJ66" s="125"/>
    </row>
    <row r="67" spans="2:36" hidden="1" outlineLevel="1">
      <c r="B67" s="212" t="s">
        <v>368</v>
      </c>
      <c r="C67" s="252">
        <f>ER!K69</f>
        <v>0</v>
      </c>
      <c r="D67" s="252">
        <f>ER!L69</f>
        <v>0</v>
      </c>
      <c r="E67" s="252">
        <f>ER!M69</f>
        <v>0</v>
      </c>
      <c r="F67" s="252">
        <f>ER!N69</f>
        <v>291.65033320266559</v>
      </c>
      <c r="G67" s="252">
        <f>ER!O69</f>
        <v>790.87875417130147</v>
      </c>
      <c r="H67" s="252">
        <f>ER!P69</f>
        <v>0</v>
      </c>
      <c r="I67" s="253">
        <f>ER!Q69</f>
        <v>0</v>
      </c>
      <c r="V67" s="125"/>
      <c r="W67" s="125"/>
      <c r="X67" s="125"/>
      <c r="Y67" s="125"/>
      <c r="Z67" s="125"/>
      <c r="AA67" s="125"/>
      <c r="AB67" s="125"/>
      <c r="AC67" s="125"/>
      <c r="AD67" s="125"/>
      <c r="AE67" s="125"/>
      <c r="AF67" s="125"/>
      <c r="AG67" s="125"/>
      <c r="AH67" s="125"/>
      <c r="AI67" s="125"/>
      <c r="AJ67" s="125"/>
    </row>
    <row r="68" spans="2:36" hidden="1" outlineLevel="1">
      <c r="B68" s="212" t="s">
        <v>369</v>
      </c>
      <c r="C68" s="252">
        <f>ER!K70</f>
        <v>7617.8885630498535</v>
      </c>
      <c r="D68" s="252">
        <f>ER!L70</f>
        <v>20321.070234113711</v>
      </c>
      <c r="E68" s="252">
        <f>ER!M70</f>
        <v>33949.570815450643</v>
      </c>
      <c r="F68" s="252">
        <f>ER!N70</f>
        <v>43225.793806350448</v>
      </c>
      <c r="G68" s="252">
        <f>ER!O70</f>
        <v>19714.868372265479</v>
      </c>
      <c r="H68" s="252">
        <f>ER!P70</f>
        <v>7498.7540049839799</v>
      </c>
      <c r="I68" s="253">
        <f>ER!Q70</f>
        <v>14372.881355932202</v>
      </c>
      <c r="V68" s="125"/>
      <c r="W68" s="125"/>
      <c r="X68" s="125"/>
      <c r="Y68" s="125"/>
      <c r="Z68" s="125"/>
      <c r="AA68" s="125"/>
      <c r="AB68" s="125"/>
      <c r="AC68" s="125"/>
      <c r="AD68" s="125"/>
      <c r="AE68" s="125"/>
      <c r="AF68" s="125"/>
      <c r="AG68" s="125"/>
      <c r="AH68" s="125"/>
      <c r="AI68" s="125"/>
      <c r="AJ68" s="125"/>
    </row>
    <row r="69" spans="2:36" hidden="1" outlineLevel="1">
      <c r="B69" s="209" t="s">
        <v>70</v>
      </c>
      <c r="C69" s="220">
        <f>ER!K71</f>
        <v>8369.7947214076248</v>
      </c>
      <c r="D69" s="220">
        <f>ER!L71</f>
        <v>21181.27090301003</v>
      </c>
      <c r="E69" s="220">
        <f>ER!M71</f>
        <v>37921.316165951357</v>
      </c>
      <c r="F69" s="220">
        <f>ER!N71</f>
        <v>48206.585652685215</v>
      </c>
      <c r="G69" s="220">
        <f>ER!O71</f>
        <v>22216.90767519466</v>
      </c>
      <c r="H69" s="220">
        <f>ER!P71</f>
        <v>9235.6710573157707</v>
      </c>
      <c r="I69" s="221">
        <f>ER!Q71</f>
        <v>15449.67139398132</v>
      </c>
      <c r="V69" s="125"/>
      <c r="W69" s="125"/>
      <c r="X69" s="125"/>
      <c r="Y69" s="125"/>
      <c r="Z69" s="125"/>
      <c r="AA69" s="125"/>
      <c r="AB69" s="125"/>
      <c r="AC69" s="125"/>
      <c r="AD69" s="125"/>
      <c r="AE69" s="125"/>
      <c r="AF69" s="125"/>
      <c r="AG69" s="125"/>
      <c r="AH69" s="125"/>
      <c r="AI69" s="125"/>
      <c r="AJ69" s="125"/>
    </row>
    <row r="70" spans="2:36" hidden="1" outlineLevel="1">
      <c r="B70" s="209" t="s">
        <v>71</v>
      </c>
      <c r="C70" s="220">
        <f>ER!K72</f>
        <v>0</v>
      </c>
      <c r="D70" s="220">
        <f>ER!L72</f>
        <v>0</v>
      </c>
      <c r="E70" s="220">
        <f>ER!M72</f>
        <v>0</v>
      </c>
      <c r="F70" s="220">
        <f>ER!N72</f>
        <v>0</v>
      </c>
      <c r="G70" s="220">
        <f>ER!O72</f>
        <v>0</v>
      </c>
      <c r="H70" s="220">
        <f>ER!P72</f>
        <v>0</v>
      </c>
      <c r="I70" s="221">
        <f>ER!Q72</f>
        <v>0</v>
      </c>
      <c r="V70" s="125"/>
      <c r="W70" s="125"/>
      <c r="X70" s="125"/>
      <c r="Y70" s="125"/>
      <c r="Z70" s="125"/>
      <c r="AA70" s="125"/>
      <c r="AB70" s="125"/>
      <c r="AC70" s="125"/>
      <c r="AD70" s="125"/>
      <c r="AE70" s="125"/>
      <c r="AF70" s="125"/>
      <c r="AG70" s="125"/>
      <c r="AH70" s="125"/>
      <c r="AI70" s="125"/>
      <c r="AJ70" s="125"/>
    </row>
    <row r="71" spans="2:36" hidden="1" outlineLevel="1">
      <c r="B71" s="212" t="s">
        <v>365</v>
      </c>
      <c r="C71" s="252">
        <f>ER!K73</f>
        <v>0</v>
      </c>
      <c r="D71" s="252">
        <f>ER!L73</f>
        <v>0</v>
      </c>
      <c r="E71" s="252">
        <f>ER!M73</f>
        <v>0</v>
      </c>
      <c r="F71" s="252">
        <f>ER!N73</f>
        <v>0</v>
      </c>
      <c r="G71" s="252">
        <f>ER!O73</f>
        <v>0</v>
      </c>
      <c r="H71" s="252">
        <f>ER!P73</f>
        <v>0</v>
      </c>
      <c r="I71" s="253">
        <f>ER!Q73</f>
        <v>0</v>
      </c>
      <c r="V71" s="125"/>
      <c r="W71" s="125"/>
      <c r="X71" s="125"/>
      <c r="Y71" s="125"/>
      <c r="Z71" s="125"/>
      <c r="AA71" s="125"/>
      <c r="AB71" s="125"/>
      <c r="AC71" s="125"/>
      <c r="AD71" s="125"/>
      <c r="AE71" s="125"/>
      <c r="AF71" s="125"/>
      <c r="AG71" s="125"/>
      <c r="AH71" s="125"/>
      <c r="AI71" s="125"/>
      <c r="AJ71" s="125"/>
    </row>
    <row r="72" spans="2:36" hidden="1" outlineLevel="1">
      <c r="B72" s="212" t="s">
        <v>371</v>
      </c>
      <c r="C72" s="252">
        <f>ER!K74</f>
        <v>31094.428152492666</v>
      </c>
      <c r="D72" s="252">
        <f>ER!L74</f>
        <v>26106.354515050167</v>
      </c>
      <c r="E72" s="252">
        <f>ER!M74</f>
        <v>28086.194563662375</v>
      </c>
      <c r="F72" s="252">
        <f>ER!N74</f>
        <v>27043.512348098782</v>
      </c>
      <c r="G72" s="252">
        <f>ER!O74</f>
        <v>18777.901371894699</v>
      </c>
      <c r="H72" s="252">
        <f>ER!P74</f>
        <v>7942.3282306870769</v>
      </c>
      <c r="I72" s="253">
        <f>ER!Q74</f>
        <v>7644.413697682463</v>
      </c>
      <c r="V72" s="125"/>
      <c r="W72" s="125"/>
      <c r="X72" s="125"/>
      <c r="Y72" s="125"/>
      <c r="Z72" s="125"/>
      <c r="AA72" s="125"/>
      <c r="AB72" s="125"/>
      <c r="AC72" s="125"/>
      <c r="AD72" s="125"/>
      <c r="AE72" s="125"/>
      <c r="AF72" s="125"/>
      <c r="AG72" s="125"/>
      <c r="AH72" s="125"/>
      <c r="AI72" s="125"/>
      <c r="AJ72" s="125"/>
    </row>
    <row r="73" spans="2:36" hidden="1" outlineLevel="1">
      <c r="B73" s="212" t="s">
        <v>372</v>
      </c>
      <c r="C73" s="252">
        <f>ER!K75</f>
        <v>0</v>
      </c>
      <c r="D73" s="252">
        <f>ER!L75</f>
        <v>0</v>
      </c>
      <c r="E73" s="252">
        <f>ER!M75</f>
        <v>0</v>
      </c>
      <c r="F73" s="252">
        <f>ER!N75</f>
        <v>0</v>
      </c>
      <c r="G73" s="252">
        <f>ER!O75</f>
        <v>0</v>
      </c>
      <c r="H73" s="252">
        <f>ER!P75</f>
        <v>0</v>
      </c>
      <c r="I73" s="253">
        <f>ER!Q75</f>
        <v>0</v>
      </c>
      <c r="V73" s="125"/>
      <c r="W73" s="125"/>
      <c r="X73" s="125"/>
      <c r="Y73" s="125"/>
      <c r="Z73" s="125"/>
      <c r="AA73" s="125"/>
      <c r="AB73" s="125"/>
      <c r="AC73" s="125"/>
      <c r="AD73" s="125"/>
      <c r="AE73" s="125"/>
      <c r="AF73" s="125"/>
      <c r="AG73" s="125"/>
      <c r="AH73" s="125"/>
      <c r="AI73" s="125"/>
      <c r="AJ73" s="125"/>
    </row>
    <row r="74" spans="2:36" hidden="1" outlineLevel="1">
      <c r="B74" s="212" t="s">
        <v>373</v>
      </c>
      <c r="C74" s="252">
        <f>ER!K76</f>
        <v>0</v>
      </c>
      <c r="D74" s="252">
        <f>ER!L76</f>
        <v>4207.6923076923076</v>
      </c>
      <c r="E74" s="252">
        <f>ER!M76</f>
        <v>7248.9270386266098</v>
      </c>
      <c r="F74" s="252">
        <f>ER!N76</f>
        <v>10264.994119952958</v>
      </c>
      <c r="G74" s="252">
        <f>ER!O76</f>
        <v>7228.4019280682242</v>
      </c>
      <c r="H74" s="252">
        <f>ER!P76</f>
        <v>4967.9601281594869</v>
      </c>
      <c r="I74" s="253">
        <f>ER!Q76</f>
        <v>3958.1459702525076</v>
      </c>
      <c r="V74" s="125"/>
      <c r="W74" s="125"/>
      <c r="X74" s="125"/>
      <c r="Y74" s="125"/>
      <c r="Z74" s="125"/>
      <c r="AA74" s="125"/>
      <c r="AB74" s="125"/>
      <c r="AC74" s="125"/>
      <c r="AD74" s="125"/>
      <c r="AE74" s="125"/>
      <c r="AF74" s="125"/>
      <c r="AG74" s="125"/>
      <c r="AH74" s="125"/>
      <c r="AI74" s="125"/>
      <c r="AJ74" s="125"/>
    </row>
    <row r="75" spans="2:36" hidden="1" outlineLevel="1">
      <c r="B75" s="212" t="s">
        <v>374</v>
      </c>
      <c r="C75" s="252">
        <f>ER!K77</f>
        <v>3251.0263929618768</v>
      </c>
      <c r="D75" s="252">
        <f>ER!L77</f>
        <v>0</v>
      </c>
      <c r="E75" s="252">
        <f>ER!M77</f>
        <v>0</v>
      </c>
      <c r="F75" s="252">
        <f>ER!N77</f>
        <v>0</v>
      </c>
      <c r="G75" s="252">
        <f>ER!O77</f>
        <v>0</v>
      </c>
      <c r="H75" s="252">
        <f>ER!P77</f>
        <v>0</v>
      </c>
      <c r="I75" s="253">
        <f>ER!Q77</f>
        <v>0</v>
      </c>
      <c r="V75" s="125"/>
      <c r="W75" s="125"/>
      <c r="X75" s="125"/>
      <c r="Y75" s="125"/>
      <c r="Z75" s="125"/>
      <c r="AA75" s="125"/>
      <c r="AB75" s="125"/>
      <c r="AC75" s="125"/>
      <c r="AD75" s="125"/>
      <c r="AE75" s="125"/>
      <c r="AF75" s="125"/>
      <c r="AG75" s="125"/>
      <c r="AH75" s="125"/>
      <c r="AI75" s="125"/>
      <c r="AJ75" s="125"/>
    </row>
    <row r="76" spans="2:36" hidden="1" outlineLevel="1">
      <c r="B76" s="212" t="s">
        <v>375</v>
      </c>
      <c r="C76" s="252">
        <f>ER!K78</f>
        <v>0</v>
      </c>
      <c r="D76" s="252">
        <f>ER!L78</f>
        <v>0</v>
      </c>
      <c r="E76" s="252">
        <f>ER!M78</f>
        <v>0</v>
      </c>
      <c r="F76" s="252">
        <f>ER!N78</f>
        <v>0</v>
      </c>
      <c r="G76" s="252">
        <f>ER!O78</f>
        <v>0</v>
      </c>
      <c r="H76" s="252">
        <f>ER!P78</f>
        <v>271.62691349234603</v>
      </c>
      <c r="I76" s="253">
        <f>ER!Q78</f>
        <v>344.86336907644414</v>
      </c>
      <c r="V76" s="125"/>
      <c r="W76" s="125"/>
      <c r="X76" s="125"/>
      <c r="Y76" s="125"/>
      <c r="Z76" s="125"/>
      <c r="AA76" s="125"/>
      <c r="AB76" s="125"/>
      <c r="AC76" s="125"/>
      <c r="AD76" s="125"/>
      <c r="AE76" s="125"/>
      <c r="AF76" s="125"/>
      <c r="AG76" s="125"/>
      <c r="AH76" s="125"/>
      <c r="AI76" s="125"/>
      <c r="AJ76" s="125"/>
    </row>
    <row r="77" spans="2:36" hidden="1" outlineLevel="1">
      <c r="B77" s="212" t="s">
        <v>376</v>
      </c>
      <c r="C77" s="252">
        <f>ER!K79</f>
        <v>0</v>
      </c>
      <c r="D77" s="252">
        <f>ER!L79</f>
        <v>0</v>
      </c>
      <c r="E77" s="252">
        <f>ER!M79</f>
        <v>0</v>
      </c>
      <c r="F77" s="252">
        <f>ER!N79</f>
        <v>0</v>
      </c>
      <c r="G77" s="252">
        <f>ER!O79</f>
        <v>0</v>
      </c>
      <c r="H77" s="252">
        <f>ER!P79</f>
        <v>1604.8415806336773</v>
      </c>
      <c r="I77" s="253">
        <f>ER!Q79</f>
        <v>603.25147007955729</v>
      </c>
      <c r="V77" s="125"/>
      <c r="W77" s="125"/>
      <c r="X77" s="125"/>
      <c r="Y77" s="125"/>
      <c r="Z77" s="125"/>
      <c r="AA77" s="125"/>
      <c r="AB77" s="125"/>
      <c r="AC77" s="125"/>
      <c r="AD77" s="125"/>
      <c r="AE77" s="125"/>
      <c r="AF77" s="125"/>
      <c r="AG77" s="125"/>
      <c r="AH77" s="125"/>
      <c r="AI77" s="125"/>
      <c r="AJ77" s="125"/>
    </row>
    <row r="78" spans="2:36" hidden="1" outlineLevel="1">
      <c r="B78" s="212" t="s">
        <v>377</v>
      </c>
      <c r="C78" s="252">
        <f>ER!K80</f>
        <v>67730.205278592373</v>
      </c>
      <c r="D78" s="252">
        <f>ER!L80</f>
        <v>54960.869565217385</v>
      </c>
      <c r="E78" s="252">
        <f>ER!M80</f>
        <v>74963.876967095857</v>
      </c>
      <c r="F78" s="252">
        <f>ER!N80</f>
        <v>20960.015680125438</v>
      </c>
      <c r="G78" s="252">
        <f>ER!O80</f>
        <v>13605.858361142009</v>
      </c>
      <c r="H78" s="252">
        <f>ER!P80</f>
        <v>4770.3809184763259</v>
      </c>
      <c r="I78" s="253">
        <f>ER!Q80</f>
        <v>5626.0809408509167</v>
      </c>
      <c r="V78" s="125"/>
      <c r="W78" s="125"/>
      <c r="X78" s="125"/>
      <c r="Y78" s="125"/>
      <c r="Z78" s="125"/>
      <c r="AA78" s="125"/>
      <c r="AB78" s="125"/>
      <c r="AC78" s="125"/>
      <c r="AD78" s="125"/>
      <c r="AE78" s="125"/>
      <c r="AF78" s="125"/>
      <c r="AG78" s="125"/>
      <c r="AH78" s="125"/>
      <c r="AI78" s="125"/>
      <c r="AJ78" s="125"/>
    </row>
    <row r="79" spans="2:36" hidden="1" outlineLevel="1">
      <c r="B79" s="209" t="s">
        <v>71</v>
      </c>
      <c r="C79" s="220">
        <f>ER!K81</f>
        <v>-102075.65982404692</v>
      </c>
      <c r="D79" s="220">
        <f>ER!L81</f>
        <v>-85274.916387959864</v>
      </c>
      <c r="E79" s="220">
        <f>ER!M81</f>
        <v>-110298.99856938484</v>
      </c>
      <c r="F79" s="220">
        <f>ER!N81</f>
        <v>-58268.522148177173</v>
      </c>
      <c r="G79" s="220">
        <f>ER!O81</f>
        <v>-39612.161661104932</v>
      </c>
      <c r="H79" s="220">
        <f>ER!P81</f>
        <v>-19557.137771448914</v>
      </c>
      <c r="I79" s="221">
        <f>ER!Q81</f>
        <v>-18176.755447941887</v>
      </c>
      <c r="V79" s="125"/>
      <c r="W79" s="125"/>
      <c r="X79" s="125"/>
      <c r="Y79" s="125"/>
      <c r="Z79" s="125"/>
      <c r="AA79" s="125"/>
      <c r="AB79" s="125"/>
      <c r="AC79" s="125"/>
      <c r="AD79" s="125"/>
      <c r="AE79" s="125"/>
      <c r="AF79" s="125"/>
      <c r="AG79" s="125"/>
      <c r="AH79" s="125"/>
      <c r="AI79" s="125"/>
      <c r="AJ79" s="125"/>
    </row>
    <row r="80" spans="2:36" hidden="1" outlineLevel="1">
      <c r="B80" s="275" t="s">
        <v>378</v>
      </c>
      <c r="C80" s="306">
        <f>ER!K82</f>
        <v>-9458.3577712609967</v>
      </c>
      <c r="D80" s="292">
        <f>ER!L82</f>
        <v>0</v>
      </c>
      <c r="E80" s="292">
        <f>ER!M82</f>
        <v>1721.0300429184551</v>
      </c>
      <c r="F80" s="292">
        <f>ER!N82</f>
        <v>620.14896119168952</v>
      </c>
      <c r="G80" s="292">
        <f>ER!O82</f>
        <v>-872.08008898776416</v>
      </c>
      <c r="H80" s="292">
        <f>ER!P82</f>
        <v>-529.01388394446417</v>
      </c>
      <c r="I80" s="293">
        <f>ER!Q82</f>
        <v>-216.8799723279142</v>
      </c>
      <c r="V80" s="125"/>
      <c r="W80" s="125"/>
      <c r="X80" s="125"/>
      <c r="Y80" s="125"/>
      <c r="Z80" s="125"/>
      <c r="AA80" s="125"/>
      <c r="AB80" s="125"/>
      <c r="AC80" s="125"/>
      <c r="AD80" s="125"/>
      <c r="AE80" s="125"/>
      <c r="AF80" s="125"/>
      <c r="AG80" s="125"/>
      <c r="AH80" s="125"/>
      <c r="AI80" s="125"/>
      <c r="AJ80" s="125"/>
    </row>
    <row r="81" spans="2:36" ht="13.5" hidden="1" outlineLevel="1" thickBot="1">
      <c r="B81" s="297" t="s">
        <v>379</v>
      </c>
      <c r="C81" s="298">
        <f>ER!K83</f>
        <v>-37977.419354838872</v>
      </c>
      <c r="D81" s="298">
        <f>ER!L83</f>
        <v>-6843.8127090301277</v>
      </c>
      <c r="E81" s="298">
        <f>ER!M83</f>
        <v>-15173.104434906885</v>
      </c>
      <c r="F81" s="298">
        <f>ER!N83</f>
        <v>51666.79733437876</v>
      </c>
      <c r="G81" s="298">
        <f>ER!O83</f>
        <v>24817.945865776754</v>
      </c>
      <c r="H81" s="298">
        <f>ER!P83</f>
        <v>28650.053399786513</v>
      </c>
      <c r="I81" s="298">
        <f>ER!Q83</f>
        <v>37253.199584918599</v>
      </c>
      <c r="V81" s="125"/>
      <c r="W81" s="125"/>
      <c r="X81" s="125"/>
      <c r="Y81" s="125"/>
      <c r="Z81" s="125"/>
      <c r="AA81" s="125"/>
      <c r="AB81" s="125"/>
      <c r="AC81" s="125"/>
      <c r="AD81" s="125"/>
      <c r="AE81" s="125"/>
      <c r="AF81" s="125"/>
      <c r="AG81" s="125"/>
      <c r="AH81" s="125"/>
      <c r="AI81" s="125"/>
      <c r="AJ81" s="125"/>
    </row>
    <row r="82" spans="2:36" ht="13.5" hidden="1" outlineLevel="1" thickTop="1">
      <c r="V82" s="125"/>
      <c r="W82" s="125"/>
      <c r="X82" s="125"/>
      <c r="Y82" s="125"/>
      <c r="Z82" s="125"/>
      <c r="AA82" s="125"/>
      <c r="AB82" s="125"/>
      <c r="AC82" s="125"/>
      <c r="AD82" s="125"/>
      <c r="AE82" s="125"/>
      <c r="AF82" s="125"/>
      <c r="AG82" s="125"/>
      <c r="AH82" s="125"/>
      <c r="AI82" s="125"/>
      <c r="AJ82" s="125"/>
    </row>
    <row r="83" spans="2:36" hidden="1" outlineLevel="1">
      <c r="B83" s="199" t="s">
        <v>72</v>
      </c>
      <c r="C83" s="299">
        <f>ER!K85</f>
        <v>12085.630498533725</v>
      </c>
      <c r="D83" s="299">
        <f>ER!L85</f>
        <v>7798.9966555183937</v>
      </c>
      <c r="E83" s="299">
        <f>ER!M85</f>
        <v>-10726.394849785409</v>
      </c>
      <c r="F83" s="299">
        <f>ER!N85</f>
        <v>-22137.98510388083</v>
      </c>
      <c r="G83" s="299">
        <f>ER!O85</f>
        <v>-7868.7430478309234</v>
      </c>
      <c r="H83" s="299">
        <f>ER!P85</f>
        <v>-11495.194019223922</v>
      </c>
      <c r="I83" s="299">
        <f>ER!Q85</f>
        <v>-15738.152888273953</v>
      </c>
      <c r="V83" s="125"/>
      <c r="W83" s="125"/>
      <c r="X83" s="125"/>
      <c r="Y83" s="125"/>
      <c r="Z83" s="125"/>
      <c r="AA83" s="125"/>
      <c r="AB83" s="125"/>
      <c r="AC83" s="125"/>
      <c r="AD83" s="125"/>
      <c r="AE83" s="125"/>
      <c r="AF83" s="125"/>
      <c r="AG83" s="125"/>
      <c r="AH83" s="125"/>
      <c r="AI83" s="125"/>
      <c r="AJ83" s="125"/>
    </row>
    <row r="84" spans="2:36" ht="13.5" hidden="1" outlineLevel="1" thickBot="1">
      <c r="B84" s="300" t="s">
        <v>380</v>
      </c>
      <c r="C84" s="301">
        <f>ER!K86</f>
        <v>-25891.788856305146</v>
      </c>
      <c r="D84" s="301">
        <f>ER!L86</f>
        <v>955.18394648826597</v>
      </c>
      <c r="E84" s="301">
        <f>ER!M86</f>
        <v>-25899.499284692294</v>
      </c>
      <c r="F84" s="301">
        <f>ER!N86</f>
        <v>29528.81223049793</v>
      </c>
      <c r="G84" s="301">
        <f>ER!O86</f>
        <v>16949.202817945828</v>
      </c>
      <c r="H84" s="301">
        <f>ER!P86</f>
        <v>17154.859380562593</v>
      </c>
      <c r="I84" s="301">
        <f>ER!Q86</f>
        <v>21515.046696644647</v>
      </c>
      <c r="V84" s="125"/>
      <c r="W84" s="125"/>
      <c r="X84" s="125"/>
      <c r="Y84" s="125"/>
      <c r="Z84" s="125"/>
      <c r="AA84" s="125"/>
      <c r="AB84" s="125"/>
      <c r="AC84" s="125"/>
      <c r="AD84" s="125"/>
      <c r="AE84" s="125"/>
      <c r="AF84" s="125"/>
      <c r="AG84" s="125"/>
      <c r="AH84" s="125"/>
      <c r="AI84" s="125"/>
      <c r="AJ84" s="125"/>
    </row>
    <row r="85" spans="2:36" collapsed="1">
      <c r="V85" s="125"/>
      <c r="W85" s="125"/>
      <c r="X85" s="125"/>
      <c r="Y85" s="125"/>
      <c r="Z85" s="125"/>
      <c r="AA85" s="125"/>
      <c r="AB85" s="125"/>
      <c r="AC85" s="125"/>
      <c r="AD85" s="125"/>
      <c r="AE85" s="125"/>
      <c r="AF85" s="125"/>
      <c r="AG85" s="125"/>
      <c r="AH85" s="125"/>
      <c r="AI85" s="125"/>
      <c r="AJ85" s="125"/>
    </row>
    <row r="86" spans="2:36">
      <c r="B86" s="270" t="s">
        <v>697</v>
      </c>
      <c r="C86" s="271">
        <f>BG!K14</f>
        <v>248092.37536656889</v>
      </c>
      <c r="D86" s="271">
        <f>BG!L14</f>
        <v>276746.82274247491</v>
      </c>
      <c r="E86" s="271">
        <f>BG!M14</f>
        <v>381944.20600858371</v>
      </c>
      <c r="F86" s="271">
        <f>BG!N14</f>
        <v>299951.39161113289</v>
      </c>
      <c r="G86" s="271">
        <f>BG!O14</f>
        <v>306004.44938820909</v>
      </c>
      <c r="H86" s="271">
        <f>BG!P14</f>
        <v>169421.50231399073</v>
      </c>
      <c r="I86" s="272">
        <f>BG!Q14</f>
        <v>115434.10584572812</v>
      </c>
      <c r="V86" s="125"/>
      <c r="W86" s="125"/>
      <c r="X86" s="125"/>
      <c r="Y86" s="125"/>
      <c r="Z86" s="125"/>
      <c r="AA86" s="125"/>
      <c r="AB86" s="125"/>
      <c r="AC86" s="125"/>
      <c r="AD86" s="125"/>
      <c r="AE86" s="125"/>
      <c r="AF86" s="125"/>
      <c r="AG86" s="125"/>
      <c r="AH86" s="125"/>
      <c r="AI86" s="125"/>
      <c r="AJ86" s="125"/>
    </row>
    <row r="87" spans="2:36">
      <c r="B87" s="212" t="s">
        <v>679</v>
      </c>
      <c r="C87" s="138">
        <f>BG!K27</f>
        <v>1020042.8152492669</v>
      </c>
      <c r="D87" s="138">
        <f>BG!L27</f>
        <v>1126084.2809364549</v>
      </c>
      <c r="E87" s="138">
        <f>BG!M27</f>
        <v>1144061.1587982832</v>
      </c>
      <c r="F87" s="138">
        <f>BG!N27</f>
        <v>992537.04429635429</v>
      </c>
      <c r="G87" s="138">
        <f>BG!O27</f>
        <v>872787.91249536513</v>
      </c>
      <c r="H87" s="138">
        <f>BG!P27</f>
        <v>606092.20363118546</v>
      </c>
      <c r="I87" s="214">
        <f>BG!Q27</f>
        <v>453612.93670010375</v>
      </c>
      <c r="V87" s="125"/>
      <c r="W87" s="125"/>
      <c r="X87" s="125"/>
      <c r="Y87" s="125"/>
      <c r="Z87" s="125"/>
      <c r="AA87" s="125"/>
      <c r="AB87" s="125"/>
      <c r="AC87" s="125"/>
      <c r="AD87" s="125"/>
      <c r="AE87" s="125"/>
      <c r="AF87" s="125"/>
      <c r="AG87" s="125"/>
      <c r="AH87" s="125"/>
      <c r="AI87" s="125"/>
      <c r="AJ87" s="125"/>
    </row>
    <row r="88" spans="2:36">
      <c r="B88" s="212" t="s">
        <v>698</v>
      </c>
      <c r="C88" s="138">
        <f>BG!K38</f>
        <v>246857.18475073314</v>
      </c>
      <c r="D88" s="138">
        <f>BG!L38</f>
        <v>296275.58528428094</v>
      </c>
      <c r="E88" s="138">
        <f>BG!M38</f>
        <v>296342.98998569389</v>
      </c>
      <c r="F88" s="138">
        <f>BG!N38</f>
        <v>290234.80987847905</v>
      </c>
      <c r="G88" s="138">
        <f>BG!O38</f>
        <v>206645.90285502412</v>
      </c>
      <c r="H88" s="138">
        <f>BG!P38</f>
        <v>198611.24955500176</v>
      </c>
      <c r="I88" s="214">
        <f>BG!Q38</f>
        <v>141168.10792113456</v>
      </c>
      <c r="V88" s="125"/>
      <c r="W88" s="125"/>
      <c r="X88" s="125"/>
      <c r="Y88" s="125"/>
      <c r="Z88" s="125"/>
      <c r="AA88" s="125"/>
      <c r="AB88" s="125"/>
      <c r="AC88" s="125"/>
      <c r="AD88" s="125"/>
      <c r="AE88" s="125"/>
      <c r="AF88" s="125"/>
      <c r="AG88" s="125"/>
      <c r="AH88" s="125"/>
      <c r="AI88" s="125"/>
      <c r="AJ88" s="125"/>
    </row>
    <row r="89" spans="2:36">
      <c r="B89" s="212" t="s">
        <v>680</v>
      </c>
      <c r="C89" s="138">
        <f>BG!K47</f>
        <v>848907.03812316712</v>
      </c>
      <c r="D89" s="138">
        <f>BG!L47</f>
        <v>913415.719063545</v>
      </c>
      <c r="E89" s="138">
        <f>BG!M47</f>
        <v>914872.31759656663</v>
      </c>
      <c r="F89" s="138">
        <f>BG!N47</f>
        <v>689604.46883575071</v>
      </c>
      <c r="G89" s="138">
        <f>BG!O47</f>
        <v>609259.17686318129</v>
      </c>
      <c r="H89" s="138">
        <f>BG!P47</f>
        <v>360865.43253826979</v>
      </c>
      <c r="I89" s="214">
        <f>BG!Q47</f>
        <v>271001.72950536147</v>
      </c>
      <c r="V89" s="125"/>
      <c r="W89" s="125"/>
      <c r="X89" s="125"/>
      <c r="Y89" s="125"/>
      <c r="Z89" s="125"/>
      <c r="AA89" s="125"/>
      <c r="AB89" s="125"/>
      <c r="AC89" s="125"/>
      <c r="AD89" s="125"/>
      <c r="AE89" s="125"/>
      <c r="AF89" s="125"/>
      <c r="AG89" s="125"/>
      <c r="AH89" s="125"/>
      <c r="AI89" s="125"/>
      <c r="AJ89" s="125"/>
    </row>
    <row r="90" spans="2:36">
      <c r="B90" s="212" t="s">
        <v>681</v>
      </c>
      <c r="C90" s="138">
        <f>BG!K32</f>
        <v>961.87683284457478</v>
      </c>
      <c r="D90" s="138">
        <f>BG!L32</f>
        <v>13519.0635451505</v>
      </c>
      <c r="E90" s="138">
        <f>BG!M32</f>
        <v>17078.326180257511</v>
      </c>
      <c r="F90" s="138">
        <f>BG!N32</f>
        <v>45243.041944335549</v>
      </c>
      <c r="G90" s="138">
        <f>BG!O32</f>
        <v>19362.99592139414</v>
      </c>
      <c r="H90" s="138">
        <f>BG!P32</f>
        <v>44021.359914560337</v>
      </c>
      <c r="I90" s="214">
        <f>BG!Q32</f>
        <v>32013.144240747148</v>
      </c>
      <c r="V90" s="125"/>
      <c r="W90" s="125"/>
      <c r="X90" s="125"/>
      <c r="Y90" s="125"/>
      <c r="Z90" s="125"/>
      <c r="AA90" s="125"/>
      <c r="AB90" s="125"/>
      <c r="AC90" s="125"/>
      <c r="AD90" s="125"/>
      <c r="AE90" s="125"/>
      <c r="AF90" s="125"/>
      <c r="AG90" s="125"/>
      <c r="AH90" s="125"/>
      <c r="AI90" s="125"/>
      <c r="AJ90" s="125"/>
    </row>
    <row r="91" spans="2:36">
      <c r="B91" s="212" t="s">
        <v>682</v>
      </c>
      <c r="C91" s="138">
        <f>BG!K41</f>
        <v>579614.66275659821</v>
      </c>
      <c r="D91" s="138">
        <f>BG!L41</f>
        <v>581672.24080267549</v>
      </c>
      <c r="E91" s="138">
        <f>BG!M41</f>
        <v>589905.9370529328</v>
      </c>
      <c r="F91" s="138">
        <f>BG!N41</f>
        <v>382025.08820070559</v>
      </c>
      <c r="G91" s="138">
        <f>BG!O41</f>
        <v>388820.17055988131</v>
      </c>
      <c r="H91" s="138">
        <f>BG!P41</f>
        <v>139808.47276610893</v>
      </c>
      <c r="I91" s="214">
        <f>BG!Q41</f>
        <v>118886.19854721549</v>
      </c>
    </row>
    <row r="92" spans="2:36">
      <c r="B92" s="212" t="s">
        <v>307</v>
      </c>
      <c r="C92" s="138">
        <f>BG!K57</f>
        <v>171135.77712609971</v>
      </c>
      <c r="D92" s="138">
        <f>BG!L57</f>
        <v>212668.56187290966</v>
      </c>
      <c r="E92" s="138">
        <f>BG!M57</f>
        <v>229188.84120171677</v>
      </c>
      <c r="F92" s="138">
        <f>BG!N57</f>
        <v>302932.57546060364</v>
      </c>
      <c r="G92" s="138">
        <f>BG!O57</f>
        <v>263528.73563218385</v>
      </c>
      <c r="H92" s="138">
        <f>BG!P57</f>
        <v>245226.77109291556</v>
      </c>
      <c r="I92" s="214">
        <f>BG!Q57</f>
        <v>182611.20719474228</v>
      </c>
    </row>
    <row r="93" spans="2:36">
      <c r="B93" s="212" t="s">
        <v>683</v>
      </c>
      <c r="C93" s="290">
        <f>+BG!K7</f>
        <v>46943.988269794718</v>
      </c>
      <c r="D93" s="290">
        <f>+BG!L7</f>
        <v>72675.250836120395</v>
      </c>
      <c r="E93" s="290">
        <f>+BG!M7</f>
        <v>67540.772532188843</v>
      </c>
      <c r="F93" s="290">
        <f>+BG!N7</f>
        <v>58989.807918463346</v>
      </c>
      <c r="G93" s="290">
        <f>+BG!O7</f>
        <v>56644.419725621061</v>
      </c>
      <c r="H93" s="290">
        <f>+BG!P7</f>
        <v>34431.114275542895</v>
      </c>
      <c r="I93" s="291">
        <f>+BG!Q7</f>
        <v>24825.319958491873</v>
      </c>
    </row>
    <row r="94" spans="2:36">
      <c r="B94" s="307" t="s">
        <v>684</v>
      </c>
      <c r="C94" s="308">
        <f>+BG!K33</f>
        <v>164121.70087976538</v>
      </c>
      <c r="D94" s="308">
        <f>+BG!L33</f>
        <v>181291.6387959866</v>
      </c>
      <c r="E94" s="308">
        <f>+BG!M33</f>
        <v>224742.8469241774</v>
      </c>
      <c r="F94" s="308">
        <f>+BG!N33</f>
        <v>137299.88239905919</v>
      </c>
      <c r="G94" s="308">
        <f>+BG!O33</f>
        <v>95010.011123470525</v>
      </c>
      <c r="H94" s="308">
        <f>+BG!P33</f>
        <v>81419.366322534712</v>
      </c>
      <c r="I94" s="309">
        <f>+BG!Q33</f>
        <v>53518.505707367694</v>
      </c>
    </row>
    <row r="95" spans="2:36">
      <c r="D95" s="62"/>
      <c r="F95" s="62"/>
    </row>
    <row r="96" spans="2:36" ht="15">
      <c r="B96" s="310" t="s">
        <v>1762</v>
      </c>
      <c r="D96" s="62"/>
      <c r="F96" s="62"/>
      <c r="K96" s="310" t="s">
        <v>1800</v>
      </c>
    </row>
    <row r="97" spans="2:19" s="414" customFormat="1" ht="12">
      <c r="B97" s="1536" t="s">
        <v>784</v>
      </c>
      <c r="C97" s="1537" t="s">
        <v>685</v>
      </c>
      <c r="D97" s="1537" t="s">
        <v>686</v>
      </c>
      <c r="E97" s="1537" t="s">
        <v>687</v>
      </c>
      <c r="F97" s="1537" t="s">
        <v>688</v>
      </c>
      <c r="G97" s="1537" t="s">
        <v>689</v>
      </c>
      <c r="H97" s="1537" t="s">
        <v>690</v>
      </c>
      <c r="I97" s="1537" t="s">
        <v>691</v>
      </c>
      <c r="K97" s="1538" t="s">
        <v>784</v>
      </c>
      <c r="L97" s="1539" t="s">
        <v>691</v>
      </c>
      <c r="M97" s="1539" t="s">
        <v>690</v>
      </c>
      <c r="N97" s="1539" t="s">
        <v>689</v>
      </c>
      <c r="O97" s="1539" t="s">
        <v>688</v>
      </c>
      <c r="P97" s="1539" t="s">
        <v>687</v>
      </c>
      <c r="Q97" s="1539" t="s">
        <v>686</v>
      </c>
      <c r="R97" s="1540" t="s">
        <v>685</v>
      </c>
    </row>
    <row r="98" spans="2:19">
      <c r="B98" s="199" t="s">
        <v>1793</v>
      </c>
      <c r="C98" s="312"/>
      <c r="D98" s="312"/>
      <c r="E98" s="312"/>
      <c r="F98" s="312"/>
      <c r="G98" s="312"/>
      <c r="H98" s="312"/>
      <c r="I98" s="312"/>
      <c r="K98" s="1357" t="s">
        <v>1793</v>
      </c>
      <c r="L98" s="1353"/>
      <c r="M98" s="1353"/>
      <c r="N98" s="1353"/>
      <c r="O98" s="1353"/>
      <c r="P98" s="1353"/>
      <c r="Q98" s="1353"/>
      <c r="R98" s="1354"/>
    </row>
    <row r="99" spans="2:19">
      <c r="B99" s="62" t="s">
        <v>1795</v>
      </c>
      <c r="C99" s="312">
        <f t="shared" ref="C99:I99" si="0">+C86/C88</f>
        <v>1.0050036648399883</v>
      </c>
      <c r="D99" s="312">
        <f t="shared" si="0"/>
        <v>0.93408581904220056</v>
      </c>
      <c r="E99" s="312">
        <f t="shared" si="0"/>
        <v>1.2888585825061099</v>
      </c>
      <c r="F99" s="312">
        <f t="shared" si="0"/>
        <v>1.0334783471931646</v>
      </c>
      <c r="G99" s="312">
        <f t="shared" si="0"/>
        <v>1.4808154682016204</v>
      </c>
      <c r="H99" s="312">
        <f t="shared" si="0"/>
        <v>0.85303074570845261</v>
      </c>
      <c r="I99" s="312">
        <f t="shared" si="0"/>
        <v>0.81770668705297733</v>
      </c>
      <c r="K99" s="1350" t="s">
        <v>1795</v>
      </c>
      <c r="L99" s="1353">
        <v>0.81770668705297733</v>
      </c>
      <c r="M99" s="1353">
        <v>0.85303074570845261</v>
      </c>
      <c r="N99" s="1353">
        <v>1.4808154682016204</v>
      </c>
      <c r="O99" s="1353">
        <v>1.0334783471931646</v>
      </c>
      <c r="P99" s="1353">
        <v>1.2888585825061099</v>
      </c>
      <c r="Q99" s="1353">
        <v>0.93408581904220056</v>
      </c>
      <c r="R99" s="1354">
        <v>1.0050036648399883</v>
      </c>
    </row>
    <row r="100" spans="2:19">
      <c r="B100" s="62" t="s">
        <v>1796</v>
      </c>
      <c r="C100" s="312">
        <f>(C86-BG!K10-BG!K8-BG!K9-BG!K11-BG!K12)/C88</f>
        <v>0.52734968513262903</v>
      </c>
      <c r="D100" s="312">
        <f>(D86-BG!L10-BG!L8-BG!L9-BG!L11-BG!L12)/D88</f>
        <v>0.36096511428390815</v>
      </c>
      <c r="E100" s="312">
        <f>(E86-BG!M10-BG!M8-BG!M9-BG!M11-BG!M12)/E88</f>
        <v>0.69562079473795368</v>
      </c>
      <c r="F100" s="312">
        <f>(F86-BG!N10-BG!N8-BG!N9-BG!N11-BG!N12)/F88</f>
        <v>0.56786094877152415</v>
      </c>
      <c r="G100" s="312">
        <f>(G86-BG!O10-BG!O8-BG!O9-BG!O11-BG!O12)/G88</f>
        <v>0.91531138081259711</v>
      </c>
      <c r="H100" s="312">
        <f>(H86-BG!P10-BG!P8-BG!P9-BG!P11-BG!P12)/H88</f>
        <v>0.24926017074775178</v>
      </c>
      <c r="I100" s="312">
        <f>(I86-BG!Q10-BG!Q8-BG!Q9-BG!Q11-BG!Q12)/I88</f>
        <v>0.26269917695170741</v>
      </c>
      <c r="K100" s="1350" t="s">
        <v>1796</v>
      </c>
      <c r="L100" s="1353">
        <v>0.26269917695170741</v>
      </c>
      <c r="M100" s="1353">
        <v>0.24926017074775178</v>
      </c>
      <c r="N100" s="1353">
        <v>0.91531138081259711</v>
      </c>
      <c r="O100" s="1353">
        <v>0.56786094877152415</v>
      </c>
      <c r="P100" s="1353">
        <v>0.69562079473795368</v>
      </c>
      <c r="Q100" s="1353">
        <v>0.36096511428390815</v>
      </c>
      <c r="R100" s="1354">
        <v>0.52734968513262903</v>
      </c>
    </row>
    <row r="101" spans="2:19">
      <c r="B101" s="199" t="s">
        <v>1794</v>
      </c>
      <c r="C101" s="1358"/>
      <c r="D101" s="312"/>
      <c r="E101" s="312"/>
      <c r="F101" s="312"/>
      <c r="G101" s="312"/>
      <c r="H101" s="312"/>
      <c r="I101" s="312"/>
      <c r="K101" s="1357" t="s">
        <v>1794</v>
      </c>
      <c r="L101" s="1359"/>
      <c r="M101" s="1353"/>
      <c r="N101" s="1353"/>
      <c r="O101" s="1353"/>
      <c r="P101" s="1353"/>
      <c r="Q101" s="1353"/>
      <c r="R101" s="1354"/>
    </row>
    <row r="102" spans="2:19">
      <c r="B102" s="313" t="s">
        <v>683</v>
      </c>
      <c r="C102" s="314">
        <f t="shared" ref="C102:H102" si="1">+((C93+D93)/2)/C10*365</f>
        <v>30.403804445919203</v>
      </c>
      <c r="D102" s="314">
        <f t="shared" si="1"/>
        <v>34.328602384084405</v>
      </c>
      <c r="E102" s="314">
        <f t="shared" si="1"/>
        <v>30.512473127068411</v>
      </c>
      <c r="F102" s="314">
        <f t="shared" si="1"/>
        <v>26.247192021079332</v>
      </c>
      <c r="G102" s="314">
        <f t="shared" si="1"/>
        <v>25.35767690467533</v>
      </c>
      <c r="H102" s="314">
        <f t="shared" si="1"/>
        <v>19.750584400640793</v>
      </c>
      <c r="I102" s="315">
        <f>+I93/I10*365</f>
        <v>18.334558154509445</v>
      </c>
      <c r="K102" s="313" t="s">
        <v>683</v>
      </c>
      <c r="L102" s="314">
        <v>18.334558154509445</v>
      </c>
      <c r="M102" s="314">
        <v>19.750584400640793</v>
      </c>
      <c r="N102" s="314">
        <v>25.35767690467533</v>
      </c>
      <c r="O102" s="314">
        <v>26.247192021079332</v>
      </c>
      <c r="P102" s="314">
        <v>30.512473127068411</v>
      </c>
      <c r="Q102" s="314">
        <v>34.328602384084405</v>
      </c>
      <c r="R102" s="315">
        <v>30.403804445919203</v>
      </c>
    </row>
    <row r="103" spans="2:19">
      <c r="B103" s="313" t="s">
        <v>684</v>
      </c>
      <c r="C103" s="314">
        <f t="shared" ref="C103:H103" si="2">+((C94+D94)/2)/C21*365</f>
        <v>138.43436333829797</v>
      </c>
      <c r="D103" s="314">
        <f t="shared" si="2"/>
        <v>148.30526016027852</v>
      </c>
      <c r="E103" s="314">
        <f t="shared" si="2"/>
        <v>130.49646809014263</v>
      </c>
      <c r="F103" s="314">
        <f t="shared" si="2"/>
        <v>77.57178880637764</v>
      </c>
      <c r="G103" s="314">
        <f t="shared" si="2"/>
        <v>68.342064272804336</v>
      </c>
      <c r="H103" s="314">
        <f t="shared" si="2"/>
        <v>63.881418222500024</v>
      </c>
      <c r="I103" s="315">
        <f>+I94/I21*365</f>
        <v>57.054458496410447</v>
      </c>
      <c r="K103" s="313" t="s">
        <v>684</v>
      </c>
      <c r="L103" s="314">
        <v>57.054458496410447</v>
      </c>
      <c r="M103" s="314">
        <v>63.881418222500024</v>
      </c>
      <c r="N103" s="314">
        <v>68.342064272804336</v>
      </c>
      <c r="O103" s="314">
        <v>77.57178880637764</v>
      </c>
      <c r="P103" s="314">
        <v>130.49646809014263</v>
      </c>
      <c r="Q103" s="314">
        <v>148.30526016027852</v>
      </c>
      <c r="R103" s="315">
        <v>138.43436333829797</v>
      </c>
    </row>
    <row r="104" spans="2:19">
      <c r="B104" s="313" t="s">
        <v>1411</v>
      </c>
      <c r="C104" s="316">
        <f t="shared" ref="C104:I104" si="3">+C22/C10</f>
        <v>0.36580605241285785</v>
      </c>
      <c r="D104" s="316">
        <f t="shared" si="3"/>
        <v>0.32970675553868561</v>
      </c>
      <c r="E104" s="316">
        <f t="shared" si="3"/>
        <v>0.33097402094128026</v>
      </c>
      <c r="F104" s="316">
        <f t="shared" si="3"/>
        <v>0.3202325829707961</v>
      </c>
      <c r="G104" s="316">
        <f t="shared" si="3"/>
        <v>0.2812289994637438</v>
      </c>
      <c r="H104" s="316">
        <f t="shared" si="3"/>
        <v>0.29594960888762339</v>
      </c>
      <c r="I104" s="317">
        <f t="shared" si="3"/>
        <v>0.3072285446324835</v>
      </c>
      <c r="K104" s="313" t="s">
        <v>1411</v>
      </c>
      <c r="L104" s="320">
        <v>0.3072285446324835</v>
      </c>
      <c r="M104" s="320">
        <v>0.29594960888762339</v>
      </c>
      <c r="N104" s="320">
        <v>0.2812289994637438</v>
      </c>
      <c r="O104" s="320">
        <v>0.3202325829707961</v>
      </c>
      <c r="P104" s="320">
        <v>0.33097402094128026</v>
      </c>
      <c r="Q104" s="320">
        <v>0.32970675553868561</v>
      </c>
      <c r="R104" s="321">
        <v>0.36580605241285785</v>
      </c>
    </row>
    <row r="105" spans="2:19">
      <c r="B105" s="313" t="s">
        <v>678</v>
      </c>
      <c r="C105" s="318">
        <f t="shared" ref="C105:I105" si="4">C61</f>
        <v>9.0787009714328695E-2</v>
      </c>
      <c r="D105" s="318">
        <f t="shared" si="4"/>
        <v>7.6801522597352914E-2</v>
      </c>
      <c r="E105" s="318">
        <f t="shared" si="4"/>
        <v>7.3313383856046341E-2</v>
      </c>
      <c r="F105" s="318">
        <f t="shared" si="4"/>
        <v>7.6003886784008115E-2</v>
      </c>
      <c r="G105" s="318">
        <f t="shared" si="4"/>
        <v>6.5731537063895881E-2</v>
      </c>
      <c r="H105" s="318">
        <f t="shared" si="4"/>
        <v>7.2141394714993035E-2</v>
      </c>
      <c r="I105" s="319">
        <f t="shared" si="4"/>
        <v>8.1335125071739317E-2</v>
      </c>
      <c r="J105" s="321">
        <f>AVERAGE(C115:H115)</f>
        <v>0.31627142357563637</v>
      </c>
      <c r="K105" s="313" t="s">
        <v>678</v>
      </c>
      <c r="L105" s="318">
        <v>8.1335125071739317E-2</v>
      </c>
      <c r="M105" s="318">
        <v>7.2141394714993035E-2</v>
      </c>
      <c r="N105" s="318">
        <v>6.5731537063895881E-2</v>
      </c>
      <c r="O105" s="318">
        <v>7.6003886784008115E-2</v>
      </c>
      <c r="P105" s="318">
        <v>7.3313383856046341E-2</v>
      </c>
      <c r="Q105" s="318">
        <v>7.6801522597352914E-2</v>
      </c>
      <c r="R105" s="319">
        <v>9.0787009714328695E-2</v>
      </c>
    </row>
    <row r="106" spans="2:19">
      <c r="B106" s="199" t="s">
        <v>1799</v>
      </c>
      <c r="C106" s="1358"/>
      <c r="D106" s="312"/>
      <c r="E106" s="312"/>
      <c r="F106" s="312"/>
      <c r="G106" s="312"/>
      <c r="H106" s="312"/>
      <c r="I106" s="312"/>
      <c r="K106" s="1357" t="s">
        <v>1799</v>
      </c>
      <c r="L106" s="1359"/>
      <c r="M106" s="1353"/>
      <c r="N106" s="1353"/>
      <c r="O106" s="1353"/>
      <c r="P106" s="1353"/>
      <c r="Q106" s="1353"/>
      <c r="R106" s="1354"/>
    </row>
    <row r="107" spans="2:19">
      <c r="B107" s="62" t="s">
        <v>3</v>
      </c>
      <c r="C107" s="312">
        <f>+(C90+C91)/C92</f>
        <v>3.3924907423749895</v>
      </c>
      <c r="D107" s="312">
        <f t="shared" ref="D107:I107" si="5">+(D90+D91)/D92</f>
        <v>2.7986802520605334</v>
      </c>
      <c r="E107" s="312">
        <f t="shared" si="5"/>
        <v>2.6484023395317187</v>
      </c>
      <c r="F107" s="312">
        <f t="shared" si="5"/>
        <v>1.4104396976633744</v>
      </c>
      <c r="G107" s="312">
        <f t="shared" si="5"/>
        <v>1.5489133111122682</v>
      </c>
      <c r="H107" s="312">
        <f t="shared" si="5"/>
        <v>0.74963199108068335</v>
      </c>
      <c r="I107" s="312">
        <f t="shared" si="5"/>
        <v>0.82634217858840875</v>
      </c>
      <c r="K107" s="1350" t="s">
        <v>3</v>
      </c>
      <c r="L107" s="1353">
        <v>0.82634217858840875</v>
      </c>
      <c r="M107" s="1353">
        <v>0.74963199108068335</v>
      </c>
      <c r="N107" s="1353">
        <v>1.5489133111122682</v>
      </c>
      <c r="O107" s="1353">
        <v>1.4104396976633744</v>
      </c>
      <c r="P107" s="1353">
        <v>2.6484023395317187</v>
      </c>
      <c r="Q107" s="1353">
        <v>2.7986802520605334</v>
      </c>
      <c r="R107" s="1354">
        <v>3.3924907423749895</v>
      </c>
    </row>
    <row r="108" spans="2:19">
      <c r="B108" s="62" t="s">
        <v>694</v>
      </c>
      <c r="C108" s="234">
        <f t="shared" ref="C108:I108" si="6">+C60+(C38+C55+C29+C30+C39+C17+C18)</f>
        <v>113994.13489736055</v>
      </c>
      <c r="D108" s="234">
        <f t="shared" si="6"/>
        <v>105713.7123745819</v>
      </c>
      <c r="E108" s="234">
        <f t="shared" si="6"/>
        <v>101006.43776824047</v>
      </c>
      <c r="F108" s="234">
        <f t="shared" si="6"/>
        <v>107235.98588788717</v>
      </c>
      <c r="G108" s="234">
        <f t="shared" si="6"/>
        <v>80215.053763440825</v>
      </c>
      <c r="H108" s="234">
        <f t="shared" si="6"/>
        <v>77771.448914204462</v>
      </c>
      <c r="I108" s="234">
        <f t="shared" si="6"/>
        <v>71275.337253545382</v>
      </c>
      <c r="K108" s="1350" t="s">
        <v>694</v>
      </c>
      <c r="L108" s="1355">
        <v>71275.337253545382</v>
      </c>
      <c r="M108" s="1355">
        <v>77771.448914204462</v>
      </c>
      <c r="N108" s="1355">
        <v>80215.053763440825</v>
      </c>
      <c r="O108" s="1355">
        <v>107235.98588788717</v>
      </c>
      <c r="P108" s="1355">
        <v>101006.43776824047</v>
      </c>
      <c r="Q108" s="1355">
        <v>105713.7123745819</v>
      </c>
      <c r="R108" s="1356">
        <v>113994.13489736055</v>
      </c>
    </row>
    <row r="109" spans="2:19">
      <c r="B109" s="62" t="s">
        <v>1855</v>
      </c>
      <c r="C109" s="312">
        <f t="shared" ref="C109:I109" si="7">+C108/(C90+C72+C74)</f>
        <v>3.5560597189695504</v>
      </c>
      <c r="D109" s="312">
        <f t="shared" si="7"/>
        <v>2.4117319416149723</v>
      </c>
      <c r="E109" s="312">
        <f t="shared" si="7"/>
        <v>1.9271092065398394</v>
      </c>
      <c r="F109" s="312">
        <f t="shared" si="7"/>
        <v>1.2990184672513769</v>
      </c>
      <c r="G109" s="312">
        <f t="shared" si="7"/>
        <v>1.7680470084422315</v>
      </c>
      <c r="H109" s="312">
        <f t="shared" si="7"/>
        <v>1.3660494869341759</v>
      </c>
      <c r="I109" s="312">
        <f t="shared" si="7"/>
        <v>1.6341668451063871</v>
      </c>
      <c r="K109" s="1350" t="s">
        <v>1855</v>
      </c>
      <c r="L109" s="1353">
        <v>1.6341668451063871</v>
      </c>
      <c r="M109" s="1353">
        <v>1.3660494869341759</v>
      </c>
      <c r="N109" s="1353">
        <v>1.7680470084422315</v>
      </c>
      <c r="O109" s="1353">
        <v>1.2990184672513769</v>
      </c>
      <c r="P109" s="1353">
        <v>1.9271092065398394</v>
      </c>
      <c r="Q109" s="1353">
        <v>2.4117319416149723</v>
      </c>
      <c r="R109" s="1354">
        <v>3.5560597189695504</v>
      </c>
      <c r="S109" s="1472"/>
    </row>
    <row r="110" spans="2:19">
      <c r="B110" s="62" t="s">
        <v>1797</v>
      </c>
      <c r="C110" s="312">
        <f>+(C108+IF(C83&gt;0,0,C83))/-ER!K81</f>
        <v>1.1167611857112472</v>
      </c>
      <c r="D110" s="312">
        <f>+(D108+IF(D83&gt;0,0,D83))/-ER!L81</f>
        <v>1.2396812198986551</v>
      </c>
      <c r="E110" s="312">
        <f>+(E108+IF(E83&gt;0,0,E83))/-ER!M81</f>
        <v>0.81850283401860058</v>
      </c>
      <c r="F110" s="312">
        <f>+(F108+IF(F83&gt;0,0,F83))/-ER!N81</f>
        <v>1.4604454969288849</v>
      </c>
      <c r="G110" s="312">
        <f>+(G108+IF(G83&gt;0,0,G83))/-ER!O81</f>
        <v>1.826366138120822</v>
      </c>
      <c r="H110" s="312">
        <f>+(H108+IF(H83&gt;0,0,H83))/-ER!P81</f>
        <v>3.3888524828891859</v>
      </c>
      <c r="I110" s="312">
        <f>+(I108+IF(I83&gt;0,0,I83))/-ER!Q81</f>
        <v>3.0553959161925008</v>
      </c>
      <c r="K110" s="1350" t="s">
        <v>1797</v>
      </c>
      <c r="L110" s="1353">
        <v>3.0553959161925008</v>
      </c>
      <c r="M110" s="1353">
        <v>3.3888524828891859</v>
      </c>
      <c r="N110" s="1353">
        <v>1.826366138120822</v>
      </c>
      <c r="O110" s="1353">
        <v>1.4604454969288849</v>
      </c>
      <c r="P110" s="1353">
        <v>0.81850283401860058</v>
      </c>
      <c r="Q110" s="1353">
        <v>1.2396812198986551</v>
      </c>
      <c r="R110" s="1354">
        <v>1.1167611857112472</v>
      </c>
    </row>
    <row r="111" spans="2:19">
      <c r="B111" s="62" t="s">
        <v>1798</v>
      </c>
      <c r="C111" s="312">
        <f>+(C108+IF(C83&gt;0,0,C83))/(-ER!K81+BG!K32)</f>
        <v>1.1063359877959218</v>
      </c>
      <c r="D111" s="312">
        <f>+(D108+IF(D83&gt;0,0,D83))/(-ER!L81+BG!L32)</f>
        <v>1.0700420455391779</v>
      </c>
      <c r="E111" s="312">
        <f>+(E108+IF(E83&gt;0,0,E83))/(-ER!M81+BG!M32)</f>
        <v>0.7087607083591897</v>
      </c>
      <c r="F111" s="312">
        <f>+(F108+IF(F83&gt;0,0,F83))/(-ER!N81+BG!N32)</f>
        <v>0.82211105135992935</v>
      </c>
      <c r="G111" s="312">
        <f>+(G108+IF(G83&gt;0,0,G83))/(-ER!O81+BG!O32)</f>
        <v>1.2267251785534647</v>
      </c>
      <c r="H111" s="312">
        <f>+(H108+IF(H83&gt;0,0,H83))/(-ER!P81+BG!P32)</f>
        <v>1.0424319118437575</v>
      </c>
      <c r="I111" s="312">
        <f>+(I108+IF(I83&gt;0,0,I83))/(-ER!Q81+BG!Q32)</f>
        <v>1.1065410512822258</v>
      </c>
      <c r="K111" s="1350" t="s">
        <v>1798</v>
      </c>
      <c r="L111" s="1353">
        <v>1.1065410512822258</v>
      </c>
      <c r="M111" s="1353">
        <v>1.0424319118437575</v>
      </c>
      <c r="N111" s="1353">
        <v>1.2267251785534647</v>
      </c>
      <c r="O111" s="1353">
        <v>0.82211105135992935</v>
      </c>
      <c r="P111" s="1353">
        <v>0.7087607083591897</v>
      </c>
      <c r="Q111" s="1353">
        <v>1.0700420455391779</v>
      </c>
      <c r="R111" s="1354">
        <v>1.1063359877959218</v>
      </c>
    </row>
    <row r="112" spans="2:19">
      <c r="B112" s="199" t="s">
        <v>1792</v>
      </c>
      <c r="C112" s="311"/>
      <c r="D112" s="311"/>
      <c r="E112" s="311"/>
      <c r="F112" s="311"/>
      <c r="G112" s="311"/>
      <c r="H112" s="311"/>
      <c r="I112" s="311"/>
      <c r="K112" s="1357" t="s">
        <v>1792</v>
      </c>
      <c r="L112" s="1351"/>
      <c r="M112" s="1351"/>
      <c r="N112" s="1351"/>
      <c r="O112" s="1351"/>
      <c r="P112" s="1351"/>
      <c r="Q112" s="1351"/>
      <c r="R112" s="1352"/>
    </row>
    <row r="113" spans="2:18">
      <c r="B113" s="62" t="s">
        <v>692</v>
      </c>
      <c r="C113" s="311">
        <f t="shared" ref="C113:H113" si="8">+C84/C87</f>
        <v>-2.5383041250065561E-2</v>
      </c>
      <c r="D113" s="311">
        <f t="shared" si="8"/>
        <v>8.4823486364087443E-4</v>
      </c>
      <c r="E113" s="311">
        <f t="shared" si="8"/>
        <v>-2.2638212201782127E-2</v>
      </c>
      <c r="F113" s="311">
        <f t="shared" si="8"/>
        <v>2.9750841442328212E-2</v>
      </c>
      <c r="G113" s="311">
        <f t="shared" si="8"/>
        <v>1.9419612228000278E-2</v>
      </c>
      <c r="H113" s="311">
        <f t="shared" si="8"/>
        <v>2.8304042318619785E-2</v>
      </c>
      <c r="I113" s="311">
        <f>+I84/I87</f>
        <v>4.743040807689497E-2</v>
      </c>
      <c r="K113" s="1350" t="s">
        <v>692</v>
      </c>
      <c r="L113" s="1351">
        <v>4.743040807689497E-2</v>
      </c>
      <c r="M113" s="1351">
        <v>2.8304042318619785E-2</v>
      </c>
      <c r="N113" s="1351">
        <v>1.9419612228000278E-2</v>
      </c>
      <c r="O113" s="1351">
        <v>2.9750841442328212E-2</v>
      </c>
      <c r="P113" s="1351">
        <v>-2.2638212201782127E-2</v>
      </c>
      <c r="Q113" s="1351">
        <v>8.4823486364087443E-4</v>
      </c>
      <c r="R113" s="1352">
        <v>-2.5383041250065561E-2</v>
      </c>
    </row>
    <row r="114" spans="2:18">
      <c r="B114" s="62" t="s">
        <v>693</v>
      </c>
      <c r="C114" s="311">
        <f t="shared" ref="C114:H114" si="9">+C84/C92</f>
        <v>-0.15129383984523023</v>
      </c>
      <c r="D114" s="311">
        <f t="shared" si="9"/>
        <v>4.4914205375549687E-3</v>
      </c>
      <c r="E114" s="311">
        <f t="shared" si="9"/>
        <v>-0.11300506232717185</v>
      </c>
      <c r="F114" s="311">
        <f t="shared" si="9"/>
        <v>9.7476516632785004E-2</v>
      </c>
      <c r="G114" s="311">
        <f t="shared" si="9"/>
        <v>6.4316336422614709E-2</v>
      </c>
      <c r="H114" s="311">
        <f t="shared" si="9"/>
        <v>6.9955084039591567E-2</v>
      </c>
      <c r="I114" s="311">
        <f>+I84/I92</f>
        <v>0.11781887337122925</v>
      </c>
      <c r="K114" s="313" t="s">
        <v>693</v>
      </c>
      <c r="L114" s="1360">
        <v>0.11781887337122925</v>
      </c>
      <c r="M114" s="1360">
        <v>6.9955084039591567E-2</v>
      </c>
      <c r="N114" s="1360">
        <v>6.4316336422614709E-2</v>
      </c>
      <c r="O114" s="1360">
        <v>9.7476516632785004E-2</v>
      </c>
      <c r="P114" s="1360">
        <v>-0.11300506232717185</v>
      </c>
      <c r="Q114" s="1360">
        <v>4.4914205375549687E-3</v>
      </c>
      <c r="R114" s="1318">
        <v>-0.15129383984523023</v>
      </c>
    </row>
    <row r="115" spans="2:18">
      <c r="B115" s="313" t="s">
        <v>704</v>
      </c>
      <c r="C115" s="320">
        <f>IFERROR((ER!K83-ER!K86)/ER!K83,0)</f>
        <v>0.31823201006926349</v>
      </c>
      <c r="D115" s="320">
        <f>IFERROR((ER!L83-ER!L86)/ER!L83,0)</f>
        <v>1.139568978155691</v>
      </c>
      <c r="E115" s="320">
        <f>IFERROR((ER!M83-ER!M86)/ER!M83,0)</f>
        <v>-0.70693475391288541</v>
      </c>
      <c r="F115" s="320">
        <f>IFERROR((ER!N83-ER!N86)/ER!N83,0)</f>
        <v>0.42847604740443929</v>
      </c>
      <c r="G115" s="320">
        <f>IFERROR((ER!O83-ER!O86)/ER!O83,0)</f>
        <v>0.31705859503391454</v>
      </c>
      <c r="H115" s="320">
        <f>IFERROR((ER!P83-ER!P86)/ER!P83,0)</f>
        <v>0.40122766470339549</v>
      </c>
      <c r="I115" s="321">
        <f>IFERROR((ER!Q83-ER!Q86)/ER!Q83,0)</f>
        <v>0.42246446113705916</v>
      </c>
    </row>
  </sheetData>
  <mergeCells count="3">
    <mergeCell ref="K2:T2"/>
    <mergeCell ref="V2:AB2"/>
    <mergeCell ref="AD2:AJ2"/>
  </mergeCells>
  <pageMargins left="0.7" right="0.7" top="0.75" bottom="0.75" header="0.3" footer="0.3"/>
  <pageSetup paperSize="9" orientation="portrait" verticalDpi="599" r:id="rId1"/>
  <ignoredErrors>
    <ignoredError sqref="L97:R97" numberStoredAsText="1"/>
  </ignoredErrors>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6" tint="-0.249977111117893"/>
  </sheetPr>
  <dimension ref="A1:J104"/>
  <sheetViews>
    <sheetView showGridLines="0" zoomScale="90" zoomScaleNormal="90" workbookViewId="0">
      <pane ySplit="8" topLeftCell="A9" activePane="bottomLeft" state="frozen"/>
      <selection activeCell="J118" sqref="J118"/>
      <selection pane="bottomLeft" activeCell="D26" sqref="D26"/>
    </sheetView>
  </sheetViews>
  <sheetFormatPr baseColWidth="10" defaultRowHeight="12.75"/>
  <cols>
    <col min="1" max="1" width="28.140625" style="322" bestFit="1" customWidth="1"/>
    <col min="2" max="2" width="20.140625" style="322" customWidth="1"/>
    <col min="3" max="3" width="12.7109375" style="322" customWidth="1"/>
    <col min="4" max="4" width="15.85546875" style="322" customWidth="1"/>
    <col min="5" max="5" width="12.5703125" style="322" customWidth="1"/>
    <col min="6" max="6" width="19" style="322" customWidth="1"/>
    <col min="7" max="7" width="20.140625" style="322" customWidth="1"/>
    <col min="8" max="8" width="23.85546875" style="322" customWidth="1"/>
    <col min="9" max="9" width="13.28515625" style="322" customWidth="1"/>
    <col min="10" max="10" width="31.85546875" style="322" customWidth="1"/>
    <col min="11" max="256" width="11.42578125" style="322"/>
    <col min="257" max="257" width="28.140625" style="322" bestFit="1" customWidth="1"/>
    <col min="258" max="258" width="20.140625" style="322" customWidth="1"/>
    <col min="259" max="259" width="12.7109375" style="322" customWidth="1"/>
    <col min="260" max="260" width="15.85546875" style="322" customWidth="1"/>
    <col min="261" max="261" width="12.5703125" style="322" customWidth="1"/>
    <col min="262" max="262" width="19" style="322" customWidth="1"/>
    <col min="263" max="263" width="20.140625" style="322" customWidth="1"/>
    <col min="264" max="264" width="37.140625" style="322" customWidth="1"/>
    <col min="265" max="265" width="13.28515625" style="322" customWidth="1"/>
    <col min="266" max="266" width="31.85546875" style="322" customWidth="1"/>
    <col min="267" max="512" width="11.42578125" style="322"/>
    <col min="513" max="513" width="28.140625" style="322" bestFit="1" customWidth="1"/>
    <col min="514" max="514" width="20.140625" style="322" customWidth="1"/>
    <col min="515" max="515" width="12.7109375" style="322" customWidth="1"/>
    <col min="516" max="516" width="15.85546875" style="322" customWidth="1"/>
    <col min="517" max="517" width="12.5703125" style="322" customWidth="1"/>
    <col min="518" max="518" width="19" style="322" customWidth="1"/>
    <col min="519" max="519" width="20.140625" style="322" customWidth="1"/>
    <col min="520" max="520" width="37.140625" style="322" customWidth="1"/>
    <col min="521" max="521" width="13.28515625" style="322" customWidth="1"/>
    <col min="522" max="522" width="31.85546875" style="322" customWidth="1"/>
    <col min="523" max="768" width="11.42578125" style="322"/>
    <col min="769" max="769" width="28.140625" style="322" bestFit="1" customWidth="1"/>
    <col min="770" max="770" width="20.140625" style="322" customWidth="1"/>
    <col min="771" max="771" width="12.7109375" style="322" customWidth="1"/>
    <col min="772" max="772" width="15.85546875" style="322" customWidth="1"/>
    <col min="773" max="773" width="12.5703125" style="322" customWidth="1"/>
    <col min="774" max="774" width="19" style="322" customWidth="1"/>
    <col min="775" max="775" width="20.140625" style="322" customWidth="1"/>
    <col min="776" max="776" width="37.140625" style="322" customWidth="1"/>
    <col min="777" max="777" width="13.28515625" style="322" customWidth="1"/>
    <col min="778" max="778" width="31.85546875" style="322" customWidth="1"/>
    <col min="779" max="1024" width="11.42578125" style="322"/>
    <col min="1025" max="1025" width="28.140625" style="322" bestFit="1" customWidth="1"/>
    <col min="1026" max="1026" width="20.140625" style="322" customWidth="1"/>
    <col min="1027" max="1027" width="12.7109375" style="322" customWidth="1"/>
    <col min="1028" max="1028" width="15.85546875" style="322" customWidth="1"/>
    <col min="1029" max="1029" width="12.5703125" style="322" customWidth="1"/>
    <col min="1030" max="1030" width="19" style="322" customWidth="1"/>
    <col min="1031" max="1031" width="20.140625" style="322" customWidth="1"/>
    <col min="1032" max="1032" width="37.140625" style="322" customWidth="1"/>
    <col min="1033" max="1033" width="13.28515625" style="322" customWidth="1"/>
    <col min="1034" max="1034" width="31.85546875" style="322" customWidth="1"/>
    <col min="1035" max="1280" width="11.42578125" style="322"/>
    <col min="1281" max="1281" width="28.140625" style="322" bestFit="1" customWidth="1"/>
    <col min="1282" max="1282" width="20.140625" style="322" customWidth="1"/>
    <col min="1283" max="1283" width="12.7109375" style="322" customWidth="1"/>
    <col min="1284" max="1284" width="15.85546875" style="322" customWidth="1"/>
    <col min="1285" max="1285" width="12.5703125" style="322" customWidth="1"/>
    <col min="1286" max="1286" width="19" style="322" customWidth="1"/>
    <col min="1287" max="1287" width="20.140625" style="322" customWidth="1"/>
    <col min="1288" max="1288" width="37.140625" style="322" customWidth="1"/>
    <col min="1289" max="1289" width="13.28515625" style="322" customWidth="1"/>
    <col min="1290" max="1290" width="31.85546875" style="322" customWidth="1"/>
    <col min="1291" max="1536" width="11.42578125" style="322"/>
    <col min="1537" max="1537" width="28.140625" style="322" bestFit="1" customWidth="1"/>
    <col min="1538" max="1538" width="20.140625" style="322" customWidth="1"/>
    <col min="1539" max="1539" width="12.7109375" style="322" customWidth="1"/>
    <col min="1540" max="1540" width="15.85546875" style="322" customWidth="1"/>
    <col min="1541" max="1541" width="12.5703125" style="322" customWidth="1"/>
    <col min="1542" max="1542" width="19" style="322" customWidth="1"/>
    <col min="1543" max="1543" width="20.140625" style="322" customWidth="1"/>
    <col min="1544" max="1544" width="37.140625" style="322" customWidth="1"/>
    <col min="1545" max="1545" width="13.28515625" style="322" customWidth="1"/>
    <col min="1546" max="1546" width="31.85546875" style="322" customWidth="1"/>
    <col min="1547" max="1792" width="11.42578125" style="322"/>
    <col min="1793" max="1793" width="28.140625" style="322" bestFit="1" customWidth="1"/>
    <col min="1794" max="1794" width="20.140625" style="322" customWidth="1"/>
    <col min="1795" max="1795" width="12.7109375" style="322" customWidth="1"/>
    <col min="1796" max="1796" width="15.85546875" style="322" customWidth="1"/>
    <col min="1797" max="1797" width="12.5703125" style="322" customWidth="1"/>
    <col min="1798" max="1798" width="19" style="322" customWidth="1"/>
    <col min="1799" max="1799" width="20.140625" style="322" customWidth="1"/>
    <col min="1800" max="1800" width="37.140625" style="322" customWidth="1"/>
    <col min="1801" max="1801" width="13.28515625" style="322" customWidth="1"/>
    <col min="1802" max="1802" width="31.85546875" style="322" customWidth="1"/>
    <col min="1803" max="2048" width="11.42578125" style="322"/>
    <col min="2049" max="2049" width="28.140625" style="322" bestFit="1" customWidth="1"/>
    <col min="2050" max="2050" width="20.140625" style="322" customWidth="1"/>
    <col min="2051" max="2051" width="12.7109375" style="322" customWidth="1"/>
    <col min="2052" max="2052" width="15.85546875" style="322" customWidth="1"/>
    <col min="2053" max="2053" width="12.5703125" style="322" customWidth="1"/>
    <col min="2054" max="2054" width="19" style="322" customWidth="1"/>
    <col min="2055" max="2055" width="20.140625" style="322" customWidth="1"/>
    <col min="2056" max="2056" width="37.140625" style="322" customWidth="1"/>
    <col min="2057" max="2057" width="13.28515625" style="322" customWidth="1"/>
    <col min="2058" max="2058" width="31.85546875" style="322" customWidth="1"/>
    <col min="2059" max="2304" width="11.42578125" style="322"/>
    <col min="2305" max="2305" width="28.140625" style="322" bestFit="1" customWidth="1"/>
    <col min="2306" max="2306" width="20.140625" style="322" customWidth="1"/>
    <col min="2307" max="2307" width="12.7109375" style="322" customWidth="1"/>
    <col min="2308" max="2308" width="15.85546875" style="322" customWidth="1"/>
    <col min="2309" max="2309" width="12.5703125" style="322" customWidth="1"/>
    <col min="2310" max="2310" width="19" style="322" customWidth="1"/>
    <col min="2311" max="2311" width="20.140625" style="322" customWidth="1"/>
    <col min="2312" max="2312" width="37.140625" style="322" customWidth="1"/>
    <col min="2313" max="2313" width="13.28515625" style="322" customWidth="1"/>
    <col min="2314" max="2314" width="31.85546875" style="322" customWidth="1"/>
    <col min="2315" max="2560" width="11.42578125" style="322"/>
    <col min="2561" max="2561" width="28.140625" style="322" bestFit="1" customWidth="1"/>
    <col min="2562" max="2562" width="20.140625" style="322" customWidth="1"/>
    <col min="2563" max="2563" width="12.7109375" style="322" customWidth="1"/>
    <col min="2564" max="2564" width="15.85546875" style="322" customWidth="1"/>
    <col min="2565" max="2565" width="12.5703125" style="322" customWidth="1"/>
    <col min="2566" max="2566" width="19" style="322" customWidth="1"/>
    <col min="2567" max="2567" width="20.140625" style="322" customWidth="1"/>
    <col min="2568" max="2568" width="37.140625" style="322" customWidth="1"/>
    <col min="2569" max="2569" width="13.28515625" style="322" customWidth="1"/>
    <col min="2570" max="2570" width="31.85546875" style="322" customWidth="1"/>
    <col min="2571" max="2816" width="11.42578125" style="322"/>
    <col min="2817" max="2817" width="28.140625" style="322" bestFit="1" customWidth="1"/>
    <col min="2818" max="2818" width="20.140625" style="322" customWidth="1"/>
    <col min="2819" max="2819" width="12.7109375" style="322" customWidth="1"/>
    <col min="2820" max="2820" width="15.85546875" style="322" customWidth="1"/>
    <col min="2821" max="2821" width="12.5703125" style="322" customWidth="1"/>
    <col min="2822" max="2822" width="19" style="322" customWidth="1"/>
    <col min="2823" max="2823" width="20.140625" style="322" customWidth="1"/>
    <col min="2824" max="2824" width="37.140625" style="322" customWidth="1"/>
    <col min="2825" max="2825" width="13.28515625" style="322" customWidth="1"/>
    <col min="2826" max="2826" width="31.85546875" style="322" customWidth="1"/>
    <col min="2827" max="3072" width="11.42578125" style="322"/>
    <col min="3073" max="3073" width="28.140625" style="322" bestFit="1" customWidth="1"/>
    <col min="3074" max="3074" width="20.140625" style="322" customWidth="1"/>
    <col min="3075" max="3075" width="12.7109375" style="322" customWidth="1"/>
    <col min="3076" max="3076" width="15.85546875" style="322" customWidth="1"/>
    <col min="3077" max="3077" width="12.5703125" style="322" customWidth="1"/>
    <col min="3078" max="3078" width="19" style="322" customWidth="1"/>
    <col min="3079" max="3079" width="20.140625" style="322" customWidth="1"/>
    <col min="3080" max="3080" width="37.140625" style="322" customWidth="1"/>
    <col min="3081" max="3081" width="13.28515625" style="322" customWidth="1"/>
    <col min="3082" max="3082" width="31.85546875" style="322" customWidth="1"/>
    <col min="3083" max="3328" width="11.42578125" style="322"/>
    <col min="3329" max="3329" width="28.140625" style="322" bestFit="1" customWidth="1"/>
    <col min="3330" max="3330" width="20.140625" style="322" customWidth="1"/>
    <col min="3331" max="3331" width="12.7109375" style="322" customWidth="1"/>
    <col min="3332" max="3332" width="15.85546875" style="322" customWidth="1"/>
    <col min="3333" max="3333" width="12.5703125" style="322" customWidth="1"/>
    <col min="3334" max="3334" width="19" style="322" customWidth="1"/>
    <col min="3335" max="3335" width="20.140625" style="322" customWidth="1"/>
    <col min="3336" max="3336" width="37.140625" style="322" customWidth="1"/>
    <col min="3337" max="3337" width="13.28515625" style="322" customWidth="1"/>
    <col min="3338" max="3338" width="31.85546875" style="322" customWidth="1"/>
    <col min="3339" max="3584" width="11.42578125" style="322"/>
    <col min="3585" max="3585" width="28.140625" style="322" bestFit="1" customWidth="1"/>
    <col min="3586" max="3586" width="20.140625" style="322" customWidth="1"/>
    <col min="3587" max="3587" width="12.7109375" style="322" customWidth="1"/>
    <col min="3588" max="3588" width="15.85546875" style="322" customWidth="1"/>
    <col min="3589" max="3589" width="12.5703125" style="322" customWidth="1"/>
    <col min="3590" max="3590" width="19" style="322" customWidth="1"/>
    <col min="3591" max="3591" width="20.140625" style="322" customWidth="1"/>
    <col min="3592" max="3592" width="37.140625" style="322" customWidth="1"/>
    <col min="3593" max="3593" width="13.28515625" style="322" customWidth="1"/>
    <col min="3594" max="3594" width="31.85546875" style="322" customWidth="1"/>
    <col min="3595" max="3840" width="11.42578125" style="322"/>
    <col min="3841" max="3841" width="28.140625" style="322" bestFit="1" customWidth="1"/>
    <col min="3842" max="3842" width="20.140625" style="322" customWidth="1"/>
    <col min="3843" max="3843" width="12.7109375" style="322" customWidth="1"/>
    <col min="3844" max="3844" width="15.85546875" style="322" customWidth="1"/>
    <col min="3845" max="3845" width="12.5703125" style="322" customWidth="1"/>
    <col min="3846" max="3846" width="19" style="322" customWidth="1"/>
    <col min="3847" max="3847" width="20.140625" style="322" customWidth="1"/>
    <col min="3848" max="3848" width="37.140625" style="322" customWidth="1"/>
    <col min="3849" max="3849" width="13.28515625" style="322" customWidth="1"/>
    <col min="3850" max="3850" width="31.85546875" style="322" customWidth="1"/>
    <col min="3851" max="4096" width="11.42578125" style="322"/>
    <col min="4097" max="4097" width="28.140625" style="322" bestFit="1" customWidth="1"/>
    <col min="4098" max="4098" width="20.140625" style="322" customWidth="1"/>
    <col min="4099" max="4099" width="12.7109375" style="322" customWidth="1"/>
    <col min="4100" max="4100" width="15.85546875" style="322" customWidth="1"/>
    <col min="4101" max="4101" width="12.5703125" style="322" customWidth="1"/>
    <col min="4102" max="4102" width="19" style="322" customWidth="1"/>
    <col min="4103" max="4103" width="20.140625" style="322" customWidth="1"/>
    <col min="4104" max="4104" width="37.140625" style="322" customWidth="1"/>
    <col min="4105" max="4105" width="13.28515625" style="322" customWidth="1"/>
    <col min="4106" max="4106" width="31.85546875" style="322" customWidth="1"/>
    <col min="4107" max="4352" width="11.42578125" style="322"/>
    <col min="4353" max="4353" width="28.140625" style="322" bestFit="1" customWidth="1"/>
    <col min="4354" max="4354" width="20.140625" style="322" customWidth="1"/>
    <col min="4355" max="4355" width="12.7109375" style="322" customWidth="1"/>
    <col min="4356" max="4356" width="15.85546875" style="322" customWidth="1"/>
    <col min="4357" max="4357" width="12.5703125" style="322" customWidth="1"/>
    <col min="4358" max="4358" width="19" style="322" customWidth="1"/>
    <col min="4359" max="4359" width="20.140625" style="322" customWidth="1"/>
    <col min="4360" max="4360" width="37.140625" style="322" customWidth="1"/>
    <col min="4361" max="4361" width="13.28515625" style="322" customWidth="1"/>
    <col min="4362" max="4362" width="31.85546875" style="322" customWidth="1"/>
    <col min="4363" max="4608" width="11.42578125" style="322"/>
    <col min="4609" max="4609" width="28.140625" style="322" bestFit="1" customWidth="1"/>
    <col min="4610" max="4610" width="20.140625" style="322" customWidth="1"/>
    <col min="4611" max="4611" width="12.7109375" style="322" customWidth="1"/>
    <col min="4612" max="4612" width="15.85546875" style="322" customWidth="1"/>
    <col min="4613" max="4613" width="12.5703125" style="322" customWidth="1"/>
    <col min="4614" max="4614" width="19" style="322" customWidth="1"/>
    <col min="4615" max="4615" width="20.140625" style="322" customWidth="1"/>
    <col min="4616" max="4616" width="37.140625" style="322" customWidth="1"/>
    <col min="4617" max="4617" width="13.28515625" style="322" customWidth="1"/>
    <col min="4618" max="4618" width="31.85546875" style="322" customWidth="1"/>
    <col min="4619" max="4864" width="11.42578125" style="322"/>
    <col min="4865" max="4865" width="28.140625" style="322" bestFit="1" customWidth="1"/>
    <col min="4866" max="4866" width="20.140625" style="322" customWidth="1"/>
    <col min="4867" max="4867" width="12.7109375" style="322" customWidth="1"/>
    <col min="4868" max="4868" width="15.85546875" style="322" customWidth="1"/>
    <col min="4869" max="4869" width="12.5703125" style="322" customWidth="1"/>
    <col min="4870" max="4870" width="19" style="322" customWidth="1"/>
    <col min="4871" max="4871" width="20.140625" style="322" customWidth="1"/>
    <col min="4872" max="4872" width="37.140625" style="322" customWidth="1"/>
    <col min="4873" max="4873" width="13.28515625" style="322" customWidth="1"/>
    <col min="4874" max="4874" width="31.85546875" style="322" customWidth="1"/>
    <col min="4875" max="5120" width="11.42578125" style="322"/>
    <col min="5121" max="5121" width="28.140625" style="322" bestFit="1" customWidth="1"/>
    <col min="5122" max="5122" width="20.140625" style="322" customWidth="1"/>
    <col min="5123" max="5123" width="12.7109375" style="322" customWidth="1"/>
    <col min="5124" max="5124" width="15.85546875" style="322" customWidth="1"/>
    <col min="5125" max="5125" width="12.5703125" style="322" customWidth="1"/>
    <col min="5126" max="5126" width="19" style="322" customWidth="1"/>
    <col min="5127" max="5127" width="20.140625" style="322" customWidth="1"/>
    <col min="5128" max="5128" width="37.140625" style="322" customWidth="1"/>
    <col min="5129" max="5129" width="13.28515625" style="322" customWidth="1"/>
    <col min="5130" max="5130" width="31.85546875" style="322" customWidth="1"/>
    <col min="5131" max="5376" width="11.42578125" style="322"/>
    <col min="5377" max="5377" width="28.140625" style="322" bestFit="1" customWidth="1"/>
    <col min="5378" max="5378" width="20.140625" style="322" customWidth="1"/>
    <col min="5379" max="5379" width="12.7109375" style="322" customWidth="1"/>
    <col min="5380" max="5380" width="15.85546875" style="322" customWidth="1"/>
    <col min="5381" max="5381" width="12.5703125" style="322" customWidth="1"/>
    <col min="5382" max="5382" width="19" style="322" customWidth="1"/>
    <col min="5383" max="5383" width="20.140625" style="322" customWidth="1"/>
    <col min="5384" max="5384" width="37.140625" style="322" customWidth="1"/>
    <col min="5385" max="5385" width="13.28515625" style="322" customWidth="1"/>
    <col min="5386" max="5386" width="31.85546875" style="322" customWidth="1"/>
    <col min="5387" max="5632" width="11.42578125" style="322"/>
    <col min="5633" max="5633" width="28.140625" style="322" bestFit="1" customWidth="1"/>
    <col min="5634" max="5634" width="20.140625" style="322" customWidth="1"/>
    <col min="5635" max="5635" width="12.7109375" style="322" customWidth="1"/>
    <col min="5636" max="5636" width="15.85546875" style="322" customWidth="1"/>
    <col min="5637" max="5637" width="12.5703125" style="322" customWidth="1"/>
    <col min="5638" max="5638" width="19" style="322" customWidth="1"/>
    <col min="5639" max="5639" width="20.140625" style="322" customWidth="1"/>
    <col min="5640" max="5640" width="37.140625" style="322" customWidth="1"/>
    <col min="5641" max="5641" width="13.28515625" style="322" customWidth="1"/>
    <col min="5642" max="5642" width="31.85546875" style="322" customWidth="1"/>
    <col min="5643" max="5888" width="11.42578125" style="322"/>
    <col min="5889" max="5889" width="28.140625" style="322" bestFit="1" customWidth="1"/>
    <col min="5890" max="5890" width="20.140625" style="322" customWidth="1"/>
    <col min="5891" max="5891" width="12.7109375" style="322" customWidth="1"/>
    <col min="5892" max="5892" width="15.85546875" style="322" customWidth="1"/>
    <col min="5893" max="5893" width="12.5703125" style="322" customWidth="1"/>
    <col min="5894" max="5894" width="19" style="322" customWidth="1"/>
    <col min="5895" max="5895" width="20.140625" style="322" customWidth="1"/>
    <col min="5896" max="5896" width="37.140625" style="322" customWidth="1"/>
    <col min="5897" max="5897" width="13.28515625" style="322" customWidth="1"/>
    <col min="5898" max="5898" width="31.85546875" style="322" customWidth="1"/>
    <col min="5899" max="6144" width="11.42578125" style="322"/>
    <col min="6145" max="6145" width="28.140625" style="322" bestFit="1" customWidth="1"/>
    <col min="6146" max="6146" width="20.140625" style="322" customWidth="1"/>
    <col min="6147" max="6147" width="12.7109375" style="322" customWidth="1"/>
    <col min="6148" max="6148" width="15.85546875" style="322" customWidth="1"/>
    <col min="6149" max="6149" width="12.5703125" style="322" customWidth="1"/>
    <col min="6150" max="6150" width="19" style="322" customWidth="1"/>
    <col min="6151" max="6151" width="20.140625" style="322" customWidth="1"/>
    <col min="6152" max="6152" width="37.140625" style="322" customWidth="1"/>
    <col min="6153" max="6153" width="13.28515625" style="322" customWidth="1"/>
    <col min="6154" max="6154" width="31.85546875" style="322" customWidth="1"/>
    <col min="6155" max="6400" width="11.42578125" style="322"/>
    <col min="6401" max="6401" width="28.140625" style="322" bestFit="1" customWidth="1"/>
    <col min="6402" max="6402" width="20.140625" style="322" customWidth="1"/>
    <col min="6403" max="6403" width="12.7109375" style="322" customWidth="1"/>
    <col min="6404" max="6404" width="15.85546875" style="322" customWidth="1"/>
    <col min="6405" max="6405" width="12.5703125" style="322" customWidth="1"/>
    <col min="6406" max="6406" width="19" style="322" customWidth="1"/>
    <col min="6407" max="6407" width="20.140625" style="322" customWidth="1"/>
    <col min="6408" max="6408" width="37.140625" style="322" customWidth="1"/>
    <col min="6409" max="6409" width="13.28515625" style="322" customWidth="1"/>
    <col min="6410" max="6410" width="31.85546875" style="322" customWidth="1"/>
    <col min="6411" max="6656" width="11.42578125" style="322"/>
    <col min="6657" max="6657" width="28.140625" style="322" bestFit="1" customWidth="1"/>
    <col min="6658" max="6658" width="20.140625" style="322" customWidth="1"/>
    <col min="6659" max="6659" width="12.7109375" style="322" customWidth="1"/>
    <col min="6660" max="6660" width="15.85546875" style="322" customWidth="1"/>
    <col min="6661" max="6661" width="12.5703125" style="322" customWidth="1"/>
    <col min="6662" max="6662" width="19" style="322" customWidth="1"/>
    <col min="6663" max="6663" width="20.140625" style="322" customWidth="1"/>
    <col min="6664" max="6664" width="37.140625" style="322" customWidth="1"/>
    <col min="6665" max="6665" width="13.28515625" style="322" customWidth="1"/>
    <col min="6666" max="6666" width="31.85546875" style="322" customWidth="1"/>
    <col min="6667" max="6912" width="11.42578125" style="322"/>
    <col min="6913" max="6913" width="28.140625" style="322" bestFit="1" customWidth="1"/>
    <col min="6914" max="6914" width="20.140625" style="322" customWidth="1"/>
    <col min="6915" max="6915" width="12.7109375" style="322" customWidth="1"/>
    <col min="6916" max="6916" width="15.85546875" style="322" customWidth="1"/>
    <col min="6917" max="6917" width="12.5703125" style="322" customWidth="1"/>
    <col min="6918" max="6918" width="19" style="322" customWidth="1"/>
    <col min="6919" max="6919" width="20.140625" style="322" customWidth="1"/>
    <col min="6920" max="6920" width="37.140625" style="322" customWidth="1"/>
    <col min="6921" max="6921" width="13.28515625" style="322" customWidth="1"/>
    <col min="6922" max="6922" width="31.85546875" style="322" customWidth="1"/>
    <col min="6923" max="7168" width="11.42578125" style="322"/>
    <col min="7169" max="7169" width="28.140625" style="322" bestFit="1" customWidth="1"/>
    <col min="7170" max="7170" width="20.140625" style="322" customWidth="1"/>
    <col min="7171" max="7171" width="12.7109375" style="322" customWidth="1"/>
    <col min="7172" max="7172" width="15.85546875" style="322" customWidth="1"/>
    <col min="7173" max="7173" width="12.5703125" style="322" customWidth="1"/>
    <col min="7174" max="7174" width="19" style="322" customWidth="1"/>
    <col min="7175" max="7175" width="20.140625" style="322" customWidth="1"/>
    <col min="7176" max="7176" width="37.140625" style="322" customWidth="1"/>
    <col min="7177" max="7177" width="13.28515625" style="322" customWidth="1"/>
    <col min="7178" max="7178" width="31.85546875" style="322" customWidth="1"/>
    <col min="7179" max="7424" width="11.42578125" style="322"/>
    <col min="7425" max="7425" width="28.140625" style="322" bestFit="1" customWidth="1"/>
    <col min="7426" max="7426" width="20.140625" style="322" customWidth="1"/>
    <col min="7427" max="7427" width="12.7109375" style="322" customWidth="1"/>
    <col min="7428" max="7428" width="15.85546875" style="322" customWidth="1"/>
    <col min="7429" max="7429" width="12.5703125" style="322" customWidth="1"/>
    <col min="7430" max="7430" width="19" style="322" customWidth="1"/>
    <col min="7431" max="7431" width="20.140625" style="322" customWidth="1"/>
    <col min="7432" max="7432" width="37.140625" style="322" customWidth="1"/>
    <col min="7433" max="7433" width="13.28515625" style="322" customWidth="1"/>
    <col min="7434" max="7434" width="31.85546875" style="322" customWidth="1"/>
    <col min="7435" max="7680" width="11.42578125" style="322"/>
    <col min="7681" max="7681" width="28.140625" style="322" bestFit="1" customWidth="1"/>
    <col min="7682" max="7682" width="20.140625" style="322" customWidth="1"/>
    <col min="7683" max="7683" width="12.7109375" style="322" customWidth="1"/>
    <col min="7684" max="7684" width="15.85546875" style="322" customWidth="1"/>
    <col min="7685" max="7685" width="12.5703125" style="322" customWidth="1"/>
    <col min="7686" max="7686" width="19" style="322" customWidth="1"/>
    <col min="7687" max="7687" width="20.140625" style="322" customWidth="1"/>
    <col min="7688" max="7688" width="37.140625" style="322" customWidth="1"/>
    <col min="7689" max="7689" width="13.28515625" style="322" customWidth="1"/>
    <col min="7690" max="7690" width="31.85546875" style="322" customWidth="1"/>
    <col min="7691" max="7936" width="11.42578125" style="322"/>
    <col min="7937" max="7937" width="28.140625" style="322" bestFit="1" customWidth="1"/>
    <col min="7938" max="7938" width="20.140625" style="322" customWidth="1"/>
    <col min="7939" max="7939" width="12.7109375" style="322" customWidth="1"/>
    <col min="7940" max="7940" width="15.85546875" style="322" customWidth="1"/>
    <col min="7941" max="7941" width="12.5703125" style="322" customWidth="1"/>
    <col min="7942" max="7942" width="19" style="322" customWidth="1"/>
    <col min="7943" max="7943" width="20.140625" style="322" customWidth="1"/>
    <col min="7944" max="7944" width="37.140625" style="322" customWidth="1"/>
    <col min="7945" max="7945" width="13.28515625" style="322" customWidth="1"/>
    <col min="7946" max="7946" width="31.85546875" style="322" customWidth="1"/>
    <col min="7947" max="8192" width="11.42578125" style="322"/>
    <col min="8193" max="8193" width="28.140625" style="322" bestFit="1" customWidth="1"/>
    <col min="8194" max="8194" width="20.140625" style="322" customWidth="1"/>
    <col min="8195" max="8195" width="12.7109375" style="322" customWidth="1"/>
    <col min="8196" max="8196" width="15.85546875" style="322" customWidth="1"/>
    <col min="8197" max="8197" width="12.5703125" style="322" customWidth="1"/>
    <col min="8198" max="8198" width="19" style="322" customWidth="1"/>
    <col min="8199" max="8199" width="20.140625" style="322" customWidth="1"/>
    <col min="8200" max="8200" width="37.140625" style="322" customWidth="1"/>
    <col min="8201" max="8201" width="13.28515625" style="322" customWidth="1"/>
    <col min="8202" max="8202" width="31.85546875" style="322" customWidth="1"/>
    <col min="8203" max="8448" width="11.42578125" style="322"/>
    <col min="8449" max="8449" width="28.140625" style="322" bestFit="1" customWidth="1"/>
    <col min="8450" max="8450" width="20.140625" style="322" customWidth="1"/>
    <col min="8451" max="8451" width="12.7109375" style="322" customWidth="1"/>
    <col min="8452" max="8452" width="15.85546875" style="322" customWidth="1"/>
    <col min="8453" max="8453" width="12.5703125" style="322" customWidth="1"/>
    <col min="8454" max="8454" width="19" style="322" customWidth="1"/>
    <col min="8455" max="8455" width="20.140625" style="322" customWidth="1"/>
    <col min="8456" max="8456" width="37.140625" style="322" customWidth="1"/>
    <col min="8457" max="8457" width="13.28515625" style="322" customWidth="1"/>
    <col min="8458" max="8458" width="31.85546875" style="322" customWidth="1"/>
    <col min="8459" max="8704" width="11.42578125" style="322"/>
    <col min="8705" max="8705" width="28.140625" style="322" bestFit="1" customWidth="1"/>
    <col min="8706" max="8706" width="20.140625" style="322" customWidth="1"/>
    <col min="8707" max="8707" width="12.7109375" style="322" customWidth="1"/>
    <col min="8708" max="8708" width="15.85546875" style="322" customWidth="1"/>
    <col min="8709" max="8709" width="12.5703125" style="322" customWidth="1"/>
    <col min="8710" max="8710" width="19" style="322" customWidth="1"/>
    <col min="8711" max="8711" width="20.140625" style="322" customWidth="1"/>
    <col min="8712" max="8712" width="37.140625" style="322" customWidth="1"/>
    <col min="8713" max="8713" width="13.28515625" style="322" customWidth="1"/>
    <col min="8714" max="8714" width="31.85546875" style="322" customWidth="1"/>
    <col min="8715" max="8960" width="11.42578125" style="322"/>
    <col min="8961" max="8961" width="28.140625" style="322" bestFit="1" customWidth="1"/>
    <col min="8962" max="8962" width="20.140625" style="322" customWidth="1"/>
    <col min="8963" max="8963" width="12.7109375" style="322" customWidth="1"/>
    <col min="8964" max="8964" width="15.85546875" style="322" customWidth="1"/>
    <col min="8965" max="8965" width="12.5703125" style="322" customWidth="1"/>
    <col min="8966" max="8966" width="19" style="322" customWidth="1"/>
    <col min="8967" max="8967" width="20.140625" style="322" customWidth="1"/>
    <col min="8968" max="8968" width="37.140625" style="322" customWidth="1"/>
    <col min="8969" max="8969" width="13.28515625" style="322" customWidth="1"/>
    <col min="8970" max="8970" width="31.85546875" style="322" customWidth="1"/>
    <col min="8971" max="9216" width="11.42578125" style="322"/>
    <col min="9217" max="9217" width="28.140625" style="322" bestFit="1" customWidth="1"/>
    <col min="9218" max="9218" width="20.140625" style="322" customWidth="1"/>
    <col min="9219" max="9219" width="12.7109375" style="322" customWidth="1"/>
    <col min="9220" max="9220" width="15.85546875" style="322" customWidth="1"/>
    <col min="9221" max="9221" width="12.5703125" style="322" customWidth="1"/>
    <col min="9222" max="9222" width="19" style="322" customWidth="1"/>
    <col min="9223" max="9223" width="20.140625" style="322" customWidth="1"/>
    <col min="9224" max="9224" width="37.140625" style="322" customWidth="1"/>
    <col min="9225" max="9225" width="13.28515625" style="322" customWidth="1"/>
    <col min="9226" max="9226" width="31.85546875" style="322" customWidth="1"/>
    <col min="9227" max="9472" width="11.42578125" style="322"/>
    <col min="9473" max="9473" width="28.140625" style="322" bestFit="1" customWidth="1"/>
    <col min="9474" max="9474" width="20.140625" style="322" customWidth="1"/>
    <col min="9475" max="9475" width="12.7109375" style="322" customWidth="1"/>
    <col min="9476" max="9476" width="15.85546875" style="322" customWidth="1"/>
    <col min="9477" max="9477" width="12.5703125" style="322" customWidth="1"/>
    <col min="9478" max="9478" width="19" style="322" customWidth="1"/>
    <col min="9479" max="9479" width="20.140625" style="322" customWidth="1"/>
    <col min="9480" max="9480" width="37.140625" style="322" customWidth="1"/>
    <col min="9481" max="9481" width="13.28515625" style="322" customWidth="1"/>
    <col min="9482" max="9482" width="31.85546875" style="322" customWidth="1"/>
    <col min="9483" max="9728" width="11.42578125" style="322"/>
    <col min="9729" max="9729" width="28.140625" style="322" bestFit="1" customWidth="1"/>
    <col min="9730" max="9730" width="20.140625" style="322" customWidth="1"/>
    <col min="9731" max="9731" width="12.7109375" style="322" customWidth="1"/>
    <col min="9732" max="9732" width="15.85546875" style="322" customWidth="1"/>
    <col min="9733" max="9733" width="12.5703125" style="322" customWidth="1"/>
    <col min="9734" max="9734" width="19" style="322" customWidth="1"/>
    <col min="9735" max="9735" width="20.140625" style="322" customWidth="1"/>
    <col min="9736" max="9736" width="37.140625" style="322" customWidth="1"/>
    <col min="9737" max="9737" width="13.28515625" style="322" customWidth="1"/>
    <col min="9738" max="9738" width="31.85546875" style="322" customWidth="1"/>
    <col min="9739" max="9984" width="11.42578125" style="322"/>
    <col min="9985" max="9985" width="28.140625" style="322" bestFit="1" customWidth="1"/>
    <col min="9986" max="9986" width="20.140625" style="322" customWidth="1"/>
    <col min="9987" max="9987" width="12.7109375" style="322" customWidth="1"/>
    <col min="9988" max="9988" width="15.85546875" style="322" customWidth="1"/>
    <col min="9989" max="9989" width="12.5703125" style="322" customWidth="1"/>
    <col min="9990" max="9990" width="19" style="322" customWidth="1"/>
    <col min="9991" max="9991" width="20.140625" style="322" customWidth="1"/>
    <col min="9992" max="9992" width="37.140625" style="322" customWidth="1"/>
    <col min="9993" max="9993" width="13.28515625" style="322" customWidth="1"/>
    <col min="9994" max="9994" width="31.85546875" style="322" customWidth="1"/>
    <col min="9995" max="10240" width="11.42578125" style="322"/>
    <col min="10241" max="10241" width="28.140625" style="322" bestFit="1" customWidth="1"/>
    <col min="10242" max="10242" width="20.140625" style="322" customWidth="1"/>
    <col min="10243" max="10243" width="12.7109375" style="322" customWidth="1"/>
    <col min="10244" max="10244" width="15.85546875" style="322" customWidth="1"/>
    <col min="10245" max="10245" width="12.5703125" style="322" customWidth="1"/>
    <col min="10246" max="10246" width="19" style="322" customWidth="1"/>
    <col min="10247" max="10247" width="20.140625" style="322" customWidth="1"/>
    <col min="10248" max="10248" width="37.140625" style="322" customWidth="1"/>
    <col min="10249" max="10249" width="13.28515625" style="322" customWidth="1"/>
    <col min="10250" max="10250" width="31.85546875" style="322" customWidth="1"/>
    <col min="10251" max="10496" width="11.42578125" style="322"/>
    <col min="10497" max="10497" width="28.140625" style="322" bestFit="1" customWidth="1"/>
    <col min="10498" max="10498" width="20.140625" style="322" customWidth="1"/>
    <col min="10499" max="10499" width="12.7109375" style="322" customWidth="1"/>
    <col min="10500" max="10500" width="15.85546875" style="322" customWidth="1"/>
    <col min="10501" max="10501" width="12.5703125" style="322" customWidth="1"/>
    <col min="10502" max="10502" width="19" style="322" customWidth="1"/>
    <col min="10503" max="10503" width="20.140625" style="322" customWidth="1"/>
    <col min="10504" max="10504" width="37.140625" style="322" customWidth="1"/>
    <col min="10505" max="10505" width="13.28515625" style="322" customWidth="1"/>
    <col min="10506" max="10506" width="31.85546875" style="322" customWidth="1"/>
    <col min="10507" max="10752" width="11.42578125" style="322"/>
    <col min="10753" max="10753" width="28.140625" style="322" bestFit="1" customWidth="1"/>
    <col min="10754" max="10754" width="20.140625" style="322" customWidth="1"/>
    <col min="10755" max="10755" width="12.7109375" style="322" customWidth="1"/>
    <col min="10756" max="10756" width="15.85546875" style="322" customWidth="1"/>
    <col min="10757" max="10757" width="12.5703125" style="322" customWidth="1"/>
    <col min="10758" max="10758" width="19" style="322" customWidth="1"/>
    <col min="10759" max="10759" width="20.140625" style="322" customWidth="1"/>
    <col min="10760" max="10760" width="37.140625" style="322" customWidth="1"/>
    <col min="10761" max="10761" width="13.28515625" style="322" customWidth="1"/>
    <col min="10762" max="10762" width="31.85546875" style="322" customWidth="1"/>
    <col min="10763" max="11008" width="11.42578125" style="322"/>
    <col min="11009" max="11009" width="28.140625" style="322" bestFit="1" customWidth="1"/>
    <col min="11010" max="11010" width="20.140625" style="322" customWidth="1"/>
    <col min="11011" max="11011" width="12.7109375" style="322" customWidth="1"/>
    <col min="11012" max="11012" width="15.85546875" style="322" customWidth="1"/>
    <col min="11013" max="11013" width="12.5703125" style="322" customWidth="1"/>
    <col min="11014" max="11014" width="19" style="322" customWidth="1"/>
    <col min="11015" max="11015" width="20.140625" style="322" customWidth="1"/>
    <col min="11016" max="11016" width="37.140625" style="322" customWidth="1"/>
    <col min="11017" max="11017" width="13.28515625" style="322" customWidth="1"/>
    <col min="11018" max="11018" width="31.85546875" style="322" customWidth="1"/>
    <col min="11019" max="11264" width="11.42578125" style="322"/>
    <col min="11265" max="11265" width="28.140625" style="322" bestFit="1" customWidth="1"/>
    <col min="11266" max="11266" width="20.140625" style="322" customWidth="1"/>
    <col min="11267" max="11267" width="12.7109375" style="322" customWidth="1"/>
    <col min="11268" max="11268" width="15.85546875" style="322" customWidth="1"/>
    <col min="11269" max="11269" width="12.5703125" style="322" customWidth="1"/>
    <col min="11270" max="11270" width="19" style="322" customWidth="1"/>
    <col min="11271" max="11271" width="20.140625" style="322" customWidth="1"/>
    <col min="11272" max="11272" width="37.140625" style="322" customWidth="1"/>
    <col min="11273" max="11273" width="13.28515625" style="322" customWidth="1"/>
    <col min="11274" max="11274" width="31.85546875" style="322" customWidth="1"/>
    <col min="11275" max="11520" width="11.42578125" style="322"/>
    <col min="11521" max="11521" width="28.140625" style="322" bestFit="1" customWidth="1"/>
    <col min="11522" max="11522" width="20.140625" style="322" customWidth="1"/>
    <col min="11523" max="11523" width="12.7109375" style="322" customWidth="1"/>
    <col min="11524" max="11524" width="15.85546875" style="322" customWidth="1"/>
    <col min="11525" max="11525" width="12.5703125" style="322" customWidth="1"/>
    <col min="11526" max="11526" width="19" style="322" customWidth="1"/>
    <col min="11527" max="11527" width="20.140625" style="322" customWidth="1"/>
    <col min="11528" max="11528" width="37.140625" style="322" customWidth="1"/>
    <col min="11529" max="11529" width="13.28515625" style="322" customWidth="1"/>
    <col min="11530" max="11530" width="31.85546875" style="322" customWidth="1"/>
    <col min="11531" max="11776" width="11.42578125" style="322"/>
    <col min="11777" max="11777" width="28.140625" style="322" bestFit="1" customWidth="1"/>
    <col min="11778" max="11778" width="20.140625" style="322" customWidth="1"/>
    <col min="11779" max="11779" width="12.7109375" style="322" customWidth="1"/>
    <col min="11780" max="11780" width="15.85546875" style="322" customWidth="1"/>
    <col min="11781" max="11781" width="12.5703125" style="322" customWidth="1"/>
    <col min="11782" max="11782" width="19" style="322" customWidth="1"/>
    <col min="11783" max="11783" width="20.140625" style="322" customWidth="1"/>
    <col min="11784" max="11784" width="37.140625" style="322" customWidth="1"/>
    <col min="11785" max="11785" width="13.28515625" style="322" customWidth="1"/>
    <col min="11786" max="11786" width="31.85546875" style="322" customWidth="1"/>
    <col min="11787" max="12032" width="11.42578125" style="322"/>
    <col min="12033" max="12033" width="28.140625" style="322" bestFit="1" customWidth="1"/>
    <col min="12034" max="12034" width="20.140625" style="322" customWidth="1"/>
    <col min="12035" max="12035" width="12.7109375" style="322" customWidth="1"/>
    <col min="12036" max="12036" width="15.85546875" style="322" customWidth="1"/>
    <col min="12037" max="12037" width="12.5703125" style="322" customWidth="1"/>
    <col min="12038" max="12038" width="19" style="322" customWidth="1"/>
    <col min="12039" max="12039" width="20.140625" style="322" customWidth="1"/>
    <col min="12040" max="12040" width="37.140625" style="322" customWidth="1"/>
    <col min="12041" max="12041" width="13.28515625" style="322" customWidth="1"/>
    <col min="12042" max="12042" width="31.85546875" style="322" customWidth="1"/>
    <col min="12043" max="12288" width="11.42578125" style="322"/>
    <col min="12289" max="12289" width="28.140625" style="322" bestFit="1" customWidth="1"/>
    <col min="12290" max="12290" width="20.140625" style="322" customWidth="1"/>
    <col min="12291" max="12291" width="12.7109375" style="322" customWidth="1"/>
    <col min="12292" max="12292" width="15.85546875" style="322" customWidth="1"/>
    <col min="12293" max="12293" width="12.5703125" style="322" customWidth="1"/>
    <col min="12294" max="12294" width="19" style="322" customWidth="1"/>
    <col min="12295" max="12295" width="20.140625" style="322" customWidth="1"/>
    <col min="12296" max="12296" width="37.140625" style="322" customWidth="1"/>
    <col min="12297" max="12297" width="13.28515625" style="322" customWidth="1"/>
    <col min="12298" max="12298" width="31.85546875" style="322" customWidth="1"/>
    <col min="12299" max="12544" width="11.42578125" style="322"/>
    <col min="12545" max="12545" width="28.140625" style="322" bestFit="1" customWidth="1"/>
    <col min="12546" max="12546" width="20.140625" style="322" customWidth="1"/>
    <col min="12547" max="12547" width="12.7109375" style="322" customWidth="1"/>
    <col min="12548" max="12548" width="15.85546875" style="322" customWidth="1"/>
    <col min="12549" max="12549" width="12.5703125" style="322" customWidth="1"/>
    <col min="12550" max="12550" width="19" style="322" customWidth="1"/>
    <col min="12551" max="12551" width="20.140625" style="322" customWidth="1"/>
    <col min="12552" max="12552" width="37.140625" style="322" customWidth="1"/>
    <col min="12553" max="12553" width="13.28515625" style="322" customWidth="1"/>
    <col min="12554" max="12554" width="31.85546875" style="322" customWidth="1"/>
    <col min="12555" max="12800" width="11.42578125" style="322"/>
    <col min="12801" max="12801" width="28.140625" style="322" bestFit="1" customWidth="1"/>
    <col min="12802" max="12802" width="20.140625" style="322" customWidth="1"/>
    <col min="12803" max="12803" width="12.7109375" style="322" customWidth="1"/>
    <col min="12804" max="12804" width="15.85546875" style="322" customWidth="1"/>
    <col min="12805" max="12805" width="12.5703125" style="322" customWidth="1"/>
    <col min="12806" max="12806" width="19" style="322" customWidth="1"/>
    <col min="12807" max="12807" width="20.140625" style="322" customWidth="1"/>
    <col min="12808" max="12808" width="37.140625" style="322" customWidth="1"/>
    <col min="12809" max="12809" width="13.28515625" style="322" customWidth="1"/>
    <col min="12810" max="12810" width="31.85546875" style="322" customWidth="1"/>
    <col min="12811" max="13056" width="11.42578125" style="322"/>
    <col min="13057" max="13057" width="28.140625" style="322" bestFit="1" customWidth="1"/>
    <col min="13058" max="13058" width="20.140625" style="322" customWidth="1"/>
    <col min="13059" max="13059" width="12.7109375" style="322" customWidth="1"/>
    <col min="13060" max="13060" width="15.85546875" style="322" customWidth="1"/>
    <col min="13061" max="13061" width="12.5703125" style="322" customWidth="1"/>
    <col min="13062" max="13062" width="19" style="322" customWidth="1"/>
    <col min="13063" max="13063" width="20.140625" style="322" customWidth="1"/>
    <col min="13064" max="13064" width="37.140625" style="322" customWidth="1"/>
    <col min="13065" max="13065" width="13.28515625" style="322" customWidth="1"/>
    <col min="13066" max="13066" width="31.85546875" style="322" customWidth="1"/>
    <col min="13067" max="13312" width="11.42578125" style="322"/>
    <col min="13313" max="13313" width="28.140625" style="322" bestFit="1" customWidth="1"/>
    <col min="13314" max="13314" width="20.140625" style="322" customWidth="1"/>
    <col min="13315" max="13315" width="12.7109375" style="322" customWidth="1"/>
    <col min="13316" max="13316" width="15.85546875" style="322" customWidth="1"/>
    <col min="13317" max="13317" width="12.5703125" style="322" customWidth="1"/>
    <col min="13318" max="13318" width="19" style="322" customWidth="1"/>
    <col min="13319" max="13319" width="20.140625" style="322" customWidth="1"/>
    <col min="13320" max="13320" width="37.140625" style="322" customWidth="1"/>
    <col min="13321" max="13321" width="13.28515625" style="322" customWidth="1"/>
    <col min="13322" max="13322" width="31.85546875" style="322" customWidth="1"/>
    <col min="13323" max="13568" width="11.42578125" style="322"/>
    <col min="13569" max="13569" width="28.140625" style="322" bestFit="1" customWidth="1"/>
    <col min="13570" max="13570" width="20.140625" style="322" customWidth="1"/>
    <col min="13571" max="13571" width="12.7109375" style="322" customWidth="1"/>
    <col min="13572" max="13572" width="15.85546875" style="322" customWidth="1"/>
    <col min="13573" max="13573" width="12.5703125" style="322" customWidth="1"/>
    <col min="13574" max="13574" width="19" style="322" customWidth="1"/>
    <col min="13575" max="13575" width="20.140625" style="322" customWidth="1"/>
    <col min="13576" max="13576" width="37.140625" style="322" customWidth="1"/>
    <col min="13577" max="13577" width="13.28515625" style="322" customWidth="1"/>
    <col min="13578" max="13578" width="31.85546875" style="322" customWidth="1"/>
    <col min="13579" max="13824" width="11.42578125" style="322"/>
    <col min="13825" max="13825" width="28.140625" style="322" bestFit="1" customWidth="1"/>
    <col min="13826" max="13826" width="20.140625" style="322" customWidth="1"/>
    <col min="13827" max="13827" width="12.7109375" style="322" customWidth="1"/>
    <col min="13828" max="13828" width="15.85546875" style="322" customWidth="1"/>
    <col min="13829" max="13829" width="12.5703125" style="322" customWidth="1"/>
    <col min="13830" max="13830" width="19" style="322" customWidth="1"/>
    <col min="13831" max="13831" width="20.140625" style="322" customWidth="1"/>
    <col min="13832" max="13832" width="37.140625" style="322" customWidth="1"/>
    <col min="13833" max="13833" width="13.28515625" style="322" customWidth="1"/>
    <col min="13834" max="13834" width="31.85546875" style="322" customWidth="1"/>
    <col min="13835" max="14080" width="11.42578125" style="322"/>
    <col min="14081" max="14081" width="28.140625" style="322" bestFit="1" customWidth="1"/>
    <col min="14082" max="14082" width="20.140625" style="322" customWidth="1"/>
    <col min="14083" max="14083" width="12.7109375" style="322" customWidth="1"/>
    <col min="14084" max="14084" width="15.85546875" style="322" customWidth="1"/>
    <col min="14085" max="14085" width="12.5703125" style="322" customWidth="1"/>
    <col min="14086" max="14086" width="19" style="322" customWidth="1"/>
    <col min="14087" max="14087" width="20.140625" style="322" customWidth="1"/>
    <col min="14088" max="14088" width="37.140625" style="322" customWidth="1"/>
    <col min="14089" max="14089" width="13.28515625" style="322" customWidth="1"/>
    <col min="14090" max="14090" width="31.85546875" style="322" customWidth="1"/>
    <col min="14091" max="14336" width="11.42578125" style="322"/>
    <col min="14337" max="14337" width="28.140625" style="322" bestFit="1" customWidth="1"/>
    <col min="14338" max="14338" width="20.140625" style="322" customWidth="1"/>
    <col min="14339" max="14339" width="12.7109375" style="322" customWidth="1"/>
    <col min="14340" max="14340" width="15.85546875" style="322" customWidth="1"/>
    <col min="14341" max="14341" width="12.5703125" style="322" customWidth="1"/>
    <col min="14342" max="14342" width="19" style="322" customWidth="1"/>
    <col min="14343" max="14343" width="20.140625" style="322" customWidth="1"/>
    <col min="14344" max="14344" width="37.140625" style="322" customWidth="1"/>
    <col min="14345" max="14345" width="13.28515625" style="322" customWidth="1"/>
    <col min="14346" max="14346" width="31.85546875" style="322" customWidth="1"/>
    <col min="14347" max="14592" width="11.42578125" style="322"/>
    <col min="14593" max="14593" width="28.140625" style="322" bestFit="1" customWidth="1"/>
    <col min="14594" max="14594" width="20.140625" style="322" customWidth="1"/>
    <col min="14595" max="14595" width="12.7109375" style="322" customWidth="1"/>
    <col min="14596" max="14596" width="15.85546875" style="322" customWidth="1"/>
    <col min="14597" max="14597" width="12.5703125" style="322" customWidth="1"/>
    <col min="14598" max="14598" width="19" style="322" customWidth="1"/>
    <col min="14599" max="14599" width="20.140625" style="322" customWidth="1"/>
    <col min="14600" max="14600" width="37.140625" style="322" customWidth="1"/>
    <col min="14601" max="14601" width="13.28515625" style="322" customWidth="1"/>
    <col min="14602" max="14602" width="31.85546875" style="322" customWidth="1"/>
    <col min="14603" max="14848" width="11.42578125" style="322"/>
    <col min="14849" max="14849" width="28.140625" style="322" bestFit="1" customWidth="1"/>
    <col min="14850" max="14850" width="20.140625" style="322" customWidth="1"/>
    <col min="14851" max="14851" width="12.7109375" style="322" customWidth="1"/>
    <col min="14852" max="14852" width="15.85546875" style="322" customWidth="1"/>
    <col min="14853" max="14853" width="12.5703125" style="322" customWidth="1"/>
    <col min="14854" max="14854" width="19" style="322" customWidth="1"/>
    <col min="14855" max="14855" width="20.140625" style="322" customWidth="1"/>
    <col min="14856" max="14856" width="37.140625" style="322" customWidth="1"/>
    <col min="14857" max="14857" width="13.28515625" style="322" customWidth="1"/>
    <col min="14858" max="14858" width="31.85546875" style="322" customWidth="1"/>
    <col min="14859" max="15104" width="11.42578125" style="322"/>
    <col min="15105" max="15105" width="28.140625" style="322" bestFit="1" customWidth="1"/>
    <col min="15106" max="15106" width="20.140625" style="322" customWidth="1"/>
    <col min="15107" max="15107" width="12.7109375" style="322" customWidth="1"/>
    <col min="15108" max="15108" width="15.85546875" style="322" customWidth="1"/>
    <col min="15109" max="15109" width="12.5703125" style="322" customWidth="1"/>
    <col min="15110" max="15110" width="19" style="322" customWidth="1"/>
    <col min="15111" max="15111" width="20.140625" style="322" customWidth="1"/>
    <col min="15112" max="15112" width="37.140625" style="322" customWidth="1"/>
    <col min="15113" max="15113" width="13.28515625" style="322" customWidth="1"/>
    <col min="15114" max="15114" width="31.85546875" style="322" customWidth="1"/>
    <col min="15115" max="15360" width="11.42578125" style="322"/>
    <col min="15361" max="15361" width="28.140625" style="322" bestFit="1" customWidth="1"/>
    <col min="15362" max="15362" width="20.140625" style="322" customWidth="1"/>
    <col min="15363" max="15363" width="12.7109375" style="322" customWidth="1"/>
    <col min="15364" max="15364" width="15.85546875" style="322" customWidth="1"/>
    <col min="15365" max="15365" width="12.5703125" style="322" customWidth="1"/>
    <col min="15366" max="15366" width="19" style="322" customWidth="1"/>
    <col min="15367" max="15367" width="20.140625" style="322" customWidth="1"/>
    <col min="15368" max="15368" width="37.140625" style="322" customWidth="1"/>
    <col min="15369" max="15369" width="13.28515625" style="322" customWidth="1"/>
    <col min="15370" max="15370" width="31.85546875" style="322" customWidth="1"/>
    <col min="15371" max="15616" width="11.42578125" style="322"/>
    <col min="15617" max="15617" width="28.140625" style="322" bestFit="1" customWidth="1"/>
    <col min="15618" max="15618" width="20.140625" style="322" customWidth="1"/>
    <col min="15619" max="15619" width="12.7109375" style="322" customWidth="1"/>
    <col min="15620" max="15620" width="15.85546875" style="322" customWidth="1"/>
    <col min="15621" max="15621" width="12.5703125" style="322" customWidth="1"/>
    <col min="15622" max="15622" width="19" style="322" customWidth="1"/>
    <col min="15623" max="15623" width="20.140625" style="322" customWidth="1"/>
    <col min="15624" max="15624" width="37.140625" style="322" customWidth="1"/>
    <col min="15625" max="15625" width="13.28515625" style="322" customWidth="1"/>
    <col min="15626" max="15626" width="31.85546875" style="322" customWidth="1"/>
    <col min="15627" max="15872" width="11.42578125" style="322"/>
    <col min="15873" max="15873" width="28.140625" style="322" bestFit="1" customWidth="1"/>
    <col min="15874" max="15874" width="20.140625" style="322" customWidth="1"/>
    <col min="15875" max="15875" width="12.7109375" style="322" customWidth="1"/>
    <col min="15876" max="15876" width="15.85546875" style="322" customWidth="1"/>
    <col min="15877" max="15877" width="12.5703125" style="322" customWidth="1"/>
    <col min="15878" max="15878" width="19" style="322" customWidth="1"/>
    <col min="15879" max="15879" width="20.140625" style="322" customWidth="1"/>
    <col min="15880" max="15880" width="37.140625" style="322" customWidth="1"/>
    <col min="15881" max="15881" width="13.28515625" style="322" customWidth="1"/>
    <col min="15882" max="15882" width="31.85546875" style="322" customWidth="1"/>
    <col min="15883" max="16128" width="11.42578125" style="322"/>
    <col min="16129" max="16129" width="28.140625" style="322" bestFit="1" customWidth="1"/>
    <col min="16130" max="16130" width="20.140625" style="322" customWidth="1"/>
    <col min="16131" max="16131" width="12.7109375" style="322" customWidth="1"/>
    <col min="16132" max="16132" width="15.85546875" style="322" customWidth="1"/>
    <col min="16133" max="16133" width="12.5703125" style="322" customWidth="1"/>
    <col min="16134" max="16134" width="19" style="322" customWidth="1"/>
    <col min="16135" max="16135" width="20.140625" style="322" customWidth="1"/>
    <col min="16136" max="16136" width="37.140625" style="322" customWidth="1"/>
    <col min="16137" max="16137" width="13.28515625" style="322" customWidth="1"/>
    <col min="16138" max="16138" width="31.85546875" style="322" customWidth="1"/>
    <col min="16139" max="16384" width="11.42578125" style="322"/>
  </cols>
  <sheetData>
    <row r="1" spans="1:10" ht="15.75">
      <c r="A1" s="1152" t="s">
        <v>73</v>
      </c>
      <c r="B1" s="1625">
        <v>42374</v>
      </c>
      <c r="C1" s="1626"/>
      <c r="D1" s="1626"/>
      <c r="E1" s="1626"/>
      <c r="F1" s="1626"/>
      <c r="G1" s="1627"/>
      <c r="H1" s="155"/>
      <c r="I1" s="155"/>
      <c r="J1" s="155"/>
    </row>
    <row r="2" spans="1:10" ht="15.75">
      <c r="A2" s="1153" t="s">
        <v>74</v>
      </c>
      <c r="B2" s="1619" t="s">
        <v>75</v>
      </c>
      <c r="C2" s="1620"/>
      <c r="D2" s="1620"/>
      <c r="E2" s="1620"/>
      <c r="F2" s="1620"/>
      <c r="G2" s="1621"/>
      <c r="H2" s="155"/>
      <c r="I2" s="155"/>
      <c r="J2" s="155"/>
    </row>
    <row r="3" spans="1:10" ht="15.75">
      <c r="A3" s="1153" t="s">
        <v>76</v>
      </c>
      <c r="B3" s="1628" t="s">
        <v>77</v>
      </c>
      <c r="C3" s="1629"/>
      <c r="D3" s="1629"/>
      <c r="E3" s="1630"/>
      <c r="F3" s="1628" t="s">
        <v>1412</v>
      </c>
      <c r="G3" s="1631"/>
      <c r="H3" s="323"/>
      <c r="I3" s="323"/>
      <c r="J3" s="323"/>
    </row>
    <row r="4" spans="1:10" ht="15.75">
      <c r="A4" s="1153" t="s">
        <v>79</v>
      </c>
      <c r="B4" s="1632" t="s">
        <v>80</v>
      </c>
      <c r="C4" s="1633"/>
      <c r="D4" s="1633"/>
      <c r="E4" s="1633"/>
      <c r="F4" s="1633"/>
      <c r="G4" s="1634"/>
      <c r="H4" s="155"/>
      <c r="I4" s="155"/>
      <c r="J4" s="155"/>
    </row>
    <row r="5" spans="1:10" ht="15.75">
      <c r="A5" s="1153" t="s">
        <v>81</v>
      </c>
      <c r="B5" s="1635" t="s">
        <v>82</v>
      </c>
      <c r="C5" s="1636"/>
      <c r="D5" s="1636"/>
      <c r="E5" s="1636"/>
      <c r="F5" s="1636"/>
      <c r="G5" s="1637"/>
      <c r="H5" s="155"/>
      <c r="I5" s="155"/>
      <c r="J5" s="155"/>
    </row>
    <row r="6" spans="1:10" s="324" customFormat="1" ht="15.75">
      <c r="A6" s="1153" t="s">
        <v>83</v>
      </c>
      <c r="B6" s="1619" t="s">
        <v>84</v>
      </c>
      <c r="C6" s="1620"/>
      <c r="D6" s="1620"/>
      <c r="E6" s="1620"/>
      <c r="F6" s="1620"/>
      <c r="G6" s="1621"/>
      <c r="H6" s="28"/>
      <c r="I6" s="28"/>
      <c r="J6" s="28"/>
    </row>
    <row r="7" spans="1:10" ht="16.5" thickBot="1">
      <c r="A7" s="1154" t="s">
        <v>85</v>
      </c>
      <c r="B7" s="1622" t="s">
        <v>86</v>
      </c>
      <c r="C7" s="1623"/>
      <c r="D7" s="1623"/>
      <c r="E7" s="1623"/>
      <c r="F7" s="1623"/>
      <c r="G7" s="1624"/>
      <c r="H7" s="155"/>
      <c r="I7" s="155"/>
      <c r="J7" s="155"/>
    </row>
    <row r="8" spans="1:10" s="325" customFormat="1" ht="25.5">
      <c r="A8" s="1149" t="s">
        <v>87</v>
      </c>
      <c r="B8" s="1150" t="s">
        <v>88</v>
      </c>
      <c r="C8" s="1151" t="s">
        <v>89</v>
      </c>
      <c r="D8" s="1150" t="s">
        <v>90</v>
      </c>
      <c r="E8" s="1150" t="s">
        <v>91</v>
      </c>
      <c r="F8" s="1150" t="s">
        <v>92</v>
      </c>
      <c r="G8" s="1150" t="s">
        <v>93</v>
      </c>
      <c r="H8" s="1150" t="s">
        <v>94</v>
      </c>
      <c r="I8" s="1150" t="s">
        <v>95</v>
      </c>
      <c r="J8" s="1150" t="s">
        <v>96</v>
      </c>
    </row>
    <row r="9" spans="1:10">
      <c r="A9" s="326" t="s">
        <v>97</v>
      </c>
      <c r="B9" s="327">
        <v>68</v>
      </c>
      <c r="C9" s="328">
        <v>1.3363530701754387</v>
      </c>
      <c r="D9" s="329">
        <v>6.3275913406229914E-2</v>
      </c>
      <c r="E9" s="329">
        <v>0.14614045107165086</v>
      </c>
      <c r="F9" s="328">
        <v>1.2678525886544603</v>
      </c>
      <c r="G9" s="329">
        <v>5.3161863604732726E-2</v>
      </c>
      <c r="H9" s="328">
        <v>1.3390383634961469</v>
      </c>
      <c r="I9" s="330">
        <v>0.49092126414498577</v>
      </c>
      <c r="J9" s="329">
        <v>0.62000873330162409</v>
      </c>
    </row>
    <row r="10" spans="1:10">
      <c r="A10" s="326" t="s">
        <v>98</v>
      </c>
      <c r="B10" s="327">
        <v>58</v>
      </c>
      <c r="C10" s="328">
        <v>1.0710857699805072</v>
      </c>
      <c r="D10" s="329">
        <v>0.20924931357337373</v>
      </c>
      <c r="E10" s="329">
        <v>0.15202181125654748</v>
      </c>
      <c r="F10" s="328">
        <v>0.90967421910259061</v>
      </c>
      <c r="G10" s="329">
        <v>7.4215928850812685E-2</v>
      </c>
      <c r="H10" s="328">
        <v>0.98259869385460541</v>
      </c>
      <c r="I10" s="330">
        <v>0.38417207001705411</v>
      </c>
      <c r="J10" s="329">
        <v>0.48722795215511594</v>
      </c>
    </row>
    <row r="11" spans="1:10">
      <c r="A11" s="326" t="s">
        <v>99</v>
      </c>
      <c r="B11" s="327">
        <v>82</v>
      </c>
      <c r="C11" s="328">
        <v>0.94551315789473656</v>
      </c>
      <c r="D11" s="329">
        <v>1.0243782950859108</v>
      </c>
      <c r="E11" s="329">
        <v>0.12662903372489265</v>
      </c>
      <c r="F11" s="328">
        <v>0.49904047658123263</v>
      </c>
      <c r="G11" s="329">
        <v>7.425810831695466E-2</v>
      </c>
      <c r="H11" s="328">
        <v>0.53907085880487915</v>
      </c>
      <c r="I11" s="330">
        <v>0.35078236262694817</v>
      </c>
      <c r="J11" s="329">
        <v>0.36708038348635785</v>
      </c>
    </row>
    <row r="12" spans="1:10">
      <c r="A12" s="326" t="s">
        <v>100</v>
      </c>
      <c r="B12" s="327">
        <v>894</v>
      </c>
      <c r="C12" s="328">
        <v>0.87540572273986406</v>
      </c>
      <c r="D12" s="329">
        <v>0.23903267846191414</v>
      </c>
      <c r="E12" s="329">
        <v>0.1413294247130297</v>
      </c>
      <c r="F12" s="328">
        <v>0.72632689056046063</v>
      </c>
      <c r="G12" s="329">
        <v>7.7481609830899467E-2</v>
      </c>
      <c r="H12" s="328">
        <v>0.78733052728338848</v>
      </c>
      <c r="I12" s="330">
        <v>0.41212252155454038</v>
      </c>
      <c r="J12" s="329">
        <v>0.53251576659909294</v>
      </c>
    </row>
    <row r="13" spans="1:10">
      <c r="A13" s="326" t="s">
        <v>101</v>
      </c>
      <c r="B13" s="327">
        <v>73</v>
      </c>
      <c r="C13" s="328">
        <v>1.2107483320978512</v>
      </c>
      <c r="D13" s="329">
        <v>0.35442300695619516</v>
      </c>
      <c r="E13" s="329">
        <v>0.13921378516172123</v>
      </c>
      <c r="F13" s="328">
        <v>0.92771789450167852</v>
      </c>
      <c r="G13" s="329">
        <v>0.12713059785510353</v>
      </c>
      <c r="H13" s="328">
        <v>1.0628369974041971</v>
      </c>
      <c r="I13" s="330">
        <v>0.37028860849810574</v>
      </c>
      <c r="J13" s="329">
        <v>0.43407143280220056</v>
      </c>
    </row>
    <row r="14" spans="1:10">
      <c r="A14" s="326" t="s">
        <v>102</v>
      </c>
      <c r="B14" s="327">
        <v>381</v>
      </c>
      <c r="C14" s="328">
        <v>1.3349316086827239</v>
      </c>
      <c r="D14" s="329">
        <v>0.14239282280091189</v>
      </c>
      <c r="E14" s="329">
        <v>0.16809050187499597</v>
      </c>
      <c r="F14" s="328">
        <v>1.1935465419383988</v>
      </c>
      <c r="G14" s="329">
        <v>7.120590653831517E-2</v>
      </c>
      <c r="H14" s="328">
        <v>1.2850496685330566</v>
      </c>
      <c r="I14" s="330">
        <v>0.37446520776279063</v>
      </c>
      <c r="J14" s="329">
        <v>0.48520241209387238</v>
      </c>
    </row>
    <row r="15" spans="1:10">
      <c r="A15" s="326" t="s">
        <v>103</v>
      </c>
      <c r="B15" s="327">
        <v>445</v>
      </c>
      <c r="C15" s="328">
        <v>0.76241347416159466</v>
      </c>
      <c r="D15" s="329">
        <v>1.2268295111061691</v>
      </c>
      <c r="E15" s="329">
        <v>0.20773081573993937</v>
      </c>
      <c r="F15" s="328">
        <v>0.3866234836449528</v>
      </c>
      <c r="G15" s="329">
        <v>0.25522554480292242</v>
      </c>
      <c r="H15" s="328">
        <v>0.51911485543988867</v>
      </c>
      <c r="I15" s="330">
        <v>0.21918336892203527</v>
      </c>
      <c r="J15" s="329">
        <v>0.2715162775817046</v>
      </c>
    </row>
    <row r="16" spans="1:10">
      <c r="A16" s="326" t="s">
        <v>104</v>
      </c>
      <c r="B16" s="327">
        <v>75</v>
      </c>
      <c r="C16" s="328">
        <v>0.73325534539473691</v>
      </c>
      <c r="D16" s="329">
        <v>2.237573451879002</v>
      </c>
      <c r="E16" s="329">
        <v>0.20455179730338865</v>
      </c>
      <c r="F16" s="328">
        <v>0.26377289159165035</v>
      </c>
      <c r="G16" s="329">
        <v>0.26152796539917716</v>
      </c>
      <c r="H16" s="328">
        <v>0.3571873804730214</v>
      </c>
      <c r="I16" s="330">
        <v>0.28270189322597405</v>
      </c>
      <c r="J16" s="329">
        <v>0.30953767614482502</v>
      </c>
    </row>
    <row r="17" spans="1:10">
      <c r="A17" s="326" t="s">
        <v>105</v>
      </c>
      <c r="B17" s="327">
        <v>117</v>
      </c>
      <c r="C17" s="328">
        <v>0.94886367946894268</v>
      </c>
      <c r="D17" s="329">
        <v>3.845337429368529E-2</v>
      </c>
      <c r="E17" s="329">
        <v>0.19899403149881248</v>
      </c>
      <c r="F17" s="328">
        <v>0.92051067814341392</v>
      </c>
      <c r="G17" s="329">
        <v>6.7926260148247181E-2</v>
      </c>
      <c r="H17" s="328">
        <v>0.98759426297089115</v>
      </c>
      <c r="I17" s="330">
        <v>0.3251875337620293</v>
      </c>
      <c r="J17" s="329">
        <v>0.44133308547758932</v>
      </c>
    </row>
    <row r="18" spans="1:10" s="324" customFormat="1">
      <c r="A18" s="1155" t="s">
        <v>106</v>
      </c>
      <c r="B18" s="1156">
        <v>33</v>
      </c>
      <c r="C18" s="1157">
        <v>1.2368263157894737</v>
      </c>
      <c r="D18" s="1158">
        <v>0.20311817494185053</v>
      </c>
      <c r="E18" s="1158">
        <v>0.1562311475058035</v>
      </c>
      <c r="F18" s="1157">
        <v>1.0558668056737133</v>
      </c>
      <c r="G18" s="1158">
        <v>5.3572021509900945E-2</v>
      </c>
      <c r="H18" s="1157">
        <v>1.1156335502234511</v>
      </c>
      <c r="I18" s="1159">
        <v>0.27462268979008486</v>
      </c>
      <c r="J18" s="1158">
        <v>0.32398685330510707</v>
      </c>
    </row>
    <row r="19" spans="1:10">
      <c r="A19" s="326" t="s">
        <v>107</v>
      </c>
      <c r="B19" s="327">
        <v>61</v>
      </c>
      <c r="C19" s="328">
        <v>1.3208379501385044</v>
      </c>
      <c r="D19" s="329">
        <v>0.1362538897128093</v>
      </c>
      <c r="E19" s="329">
        <v>0.15973350654471935</v>
      </c>
      <c r="F19" s="328">
        <v>1.185150562247846</v>
      </c>
      <c r="G19" s="329">
        <v>6.3646227100024669E-2</v>
      </c>
      <c r="H19" s="328">
        <v>1.2657081079273313</v>
      </c>
      <c r="I19" s="330">
        <v>0.34528801700832135</v>
      </c>
      <c r="J19" s="329">
        <v>0.42362042210267775</v>
      </c>
    </row>
    <row r="20" spans="1:10">
      <c r="A20" s="326" t="s">
        <v>108</v>
      </c>
      <c r="B20" s="327">
        <v>379</v>
      </c>
      <c r="C20" s="328">
        <v>1.0244554597701143</v>
      </c>
      <c r="D20" s="329">
        <v>1.1241367704308323</v>
      </c>
      <c r="E20" s="329">
        <v>0.1454391147306287</v>
      </c>
      <c r="F20" s="328">
        <v>0.52250985817259299</v>
      </c>
      <c r="G20" s="329">
        <v>0.21681713009629597</v>
      </c>
      <c r="H20" s="328">
        <v>0.66716201062574065</v>
      </c>
      <c r="I20" s="330">
        <v>0.3855688558482197</v>
      </c>
      <c r="J20" s="329">
        <v>0.50160261871272227</v>
      </c>
    </row>
    <row r="21" spans="1:10">
      <c r="A21" s="326" t="s">
        <v>109</v>
      </c>
      <c r="B21" s="327">
        <v>214</v>
      </c>
      <c r="C21" s="328">
        <v>1.0419783741532043</v>
      </c>
      <c r="D21" s="329">
        <v>0.26146642234472328</v>
      </c>
      <c r="E21" s="329">
        <v>0.16677289786815974</v>
      </c>
      <c r="F21" s="328">
        <v>0.85558076962234353</v>
      </c>
      <c r="G21" s="329">
        <v>6.8149407558589697E-2</v>
      </c>
      <c r="H21" s="328">
        <v>0.91815230527541658</v>
      </c>
      <c r="I21" s="330">
        <v>0.38194618327280722</v>
      </c>
      <c r="J21" s="329">
        <v>0.4782016933479451</v>
      </c>
    </row>
    <row r="22" spans="1:10">
      <c r="A22" s="326" t="s">
        <v>110</v>
      </c>
      <c r="B22" s="327">
        <v>176</v>
      </c>
      <c r="C22" s="328">
        <v>1.1092154385964912</v>
      </c>
      <c r="D22" s="329">
        <v>0.11573967829403725</v>
      </c>
      <c r="E22" s="329">
        <v>0.1454673956291104</v>
      </c>
      <c r="F22" s="328">
        <v>1.0093840009446824</v>
      </c>
      <c r="G22" s="329">
        <v>6.1492746177728881E-2</v>
      </c>
      <c r="H22" s="328">
        <v>1.0755207238236579</v>
      </c>
      <c r="I22" s="330">
        <v>0.4049195860530288</v>
      </c>
      <c r="J22" s="329">
        <v>0.54985086669151806</v>
      </c>
    </row>
    <row r="23" spans="1:10">
      <c r="A23" s="326" t="s">
        <v>111</v>
      </c>
      <c r="B23" s="327">
        <v>27</v>
      </c>
      <c r="C23" s="328">
        <v>1.0802753036437247</v>
      </c>
      <c r="D23" s="329">
        <v>8.0790565107444812E-2</v>
      </c>
      <c r="E23" s="329">
        <v>9.6787128141131648E-2</v>
      </c>
      <c r="F23" s="328">
        <v>1.0068074764189343</v>
      </c>
      <c r="G23" s="329">
        <v>4.7894128326347284E-2</v>
      </c>
      <c r="H23" s="328">
        <v>1.0574532794857412</v>
      </c>
      <c r="I23" s="330">
        <v>0.37402728178169298</v>
      </c>
      <c r="J23" s="329">
        <v>0.42124210736970286</v>
      </c>
    </row>
    <row r="24" spans="1:10">
      <c r="A24" s="326" t="s">
        <v>112</v>
      </c>
      <c r="B24" s="327">
        <v>552</v>
      </c>
      <c r="C24" s="328">
        <v>1.1173073704375889</v>
      </c>
      <c r="D24" s="329">
        <v>0.31443145618277873</v>
      </c>
      <c r="E24" s="329">
        <v>0.15570343541010903</v>
      </c>
      <c r="F24" s="328">
        <v>0.88291652118413388</v>
      </c>
      <c r="G24" s="329">
        <v>7.3393517590845822E-2</v>
      </c>
      <c r="H24" s="328">
        <v>0.95284949754352299</v>
      </c>
      <c r="I24" s="330">
        <v>0.38713623868280428</v>
      </c>
      <c r="J24" s="329">
        <v>0.47128314630464757</v>
      </c>
    </row>
    <row r="25" spans="1:10">
      <c r="A25" s="326" t="s">
        <v>113</v>
      </c>
      <c r="B25" s="327">
        <v>39</v>
      </c>
      <c r="C25" s="328">
        <v>1.320921783625731</v>
      </c>
      <c r="D25" s="329">
        <v>0.33170330799695996</v>
      </c>
      <c r="E25" s="329">
        <v>0.14764363801201982</v>
      </c>
      <c r="F25" s="328">
        <v>1.0297742906818583</v>
      </c>
      <c r="G25" s="329">
        <v>5.8170215552706836E-2</v>
      </c>
      <c r="H25" s="328">
        <v>1.0933762211461329</v>
      </c>
      <c r="I25" s="330">
        <v>0.33746861527579736</v>
      </c>
      <c r="J25" s="329">
        <v>0.44300735849966821</v>
      </c>
    </row>
    <row r="26" spans="1:10">
      <c r="A26" s="326" t="s">
        <v>114</v>
      </c>
      <c r="B26" s="327">
        <v>416</v>
      </c>
      <c r="C26" s="328">
        <v>1.2304580767077253</v>
      </c>
      <c r="D26" s="329">
        <v>0.27659049024689525</v>
      </c>
      <c r="E26" s="329">
        <v>0.16485160416471348</v>
      </c>
      <c r="F26" s="328">
        <v>0.99956455719534187</v>
      </c>
      <c r="G26" s="329">
        <v>6.4195843714982659E-2</v>
      </c>
      <c r="H26" s="328">
        <v>1.0681343425139747</v>
      </c>
      <c r="I26" s="330">
        <v>0.39400486308456217</v>
      </c>
      <c r="J26" s="329">
        <v>0.49753794145183816</v>
      </c>
    </row>
    <row r="27" spans="1:10">
      <c r="A27" s="326" t="s">
        <v>115</v>
      </c>
      <c r="B27" s="327">
        <v>109</v>
      </c>
      <c r="C27" s="328">
        <v>1.4134377013963484</v>
      </c>
      <c r="D27" s="329">
        <v>0.61132169020913751</v>
      </c>
      <c r="E27" s="329">
        <v>0.11671580476738591</v>
      </c>
      <c r="F27" s="328">
        <v>0.91783409995637466</v>
      </c>
      <c r="G27" s="329">
        <v>0.13945017571293644</v>
      </c>
      <c r="H27" s="328">
        <v>1.0665670645122369</v>
      </c>
      <c r="I27" s="330">
        <v>0.42647830862754932</v>
      </c>
      <c r="J27" s="329">
        <v>0.51848429067369539</v>
      </c>
    </row>
    <row r="28" spans="1:10">
      <c r="A28" s="326" t="s">
        <v>116</v>
      </c>
      <c r="B28" s="327">
        <v>413</v>
      </c>
      <c r="C28" s="328">
        <v>1.1073117615467236</v>
      </c>
      <c r="D28" s="329">
        <v>9.3493735082773352E-2</v>
      </c>
      <c r="E28" s="329">
        <v>0.13419096011107992</v>
      </c>
      <c r="F28" s="328">
        <v>1.0243897461706126</v>
      </c>
      <c r="G28" s="329">
        <v>5.77572509247231E-2</v>
      </c>
      <c r="H28" s="328">
        <v>1.0871824136359289</v>
      </c>
      <c r="I28" s="330">
        <v>0.41738692004604511</v>
      </c>
      <c r="J28" s="329">
        <v>0.53041434083929917</v>
      </c>
    </row>
    <row r="29" spans="1:10">
      <c r="A29" s="326" t="s">
        <v>117</v>
      </c>
      <c r="B29" s="327">
        <v>198</v>
      </c>
      <c r="C29" s="328">
        <v>1.3228527700831025</v>
      </c>
      <c r="D29" s="329">
        <v>0.19566907196297964</v>
      </c>
      <c r="E29" s="329">
        <v>0.13289983408938166</v>
      </c>
      <c r="F29" s="328">
        <v>1.1309675219881568</v>
      </c>
      <c r="G29" s="329">
        <v>0.16647268273336138</v>
      </c>
      <c r="H29" s="328">
        <v>1.3568451789881404</v>
      </c>
      <c r="I29" s="330">
        <v>0.40750261206430072</v>
      </c>
      <c r="J29" s="329">
        <v>0.46151863129361537</v>
      </c>
    </row>
    <row r="30" spans="1:10">
      <c r="A30" s="326" t="s">
        <v>118</v>
      </c>
      <c r="B30" s="327">
        <v>498</v>
      </c>
      <c r="C30" s="328">
        <v>1.0875319757264563</v>
      </c>
      <c r="D30" s="329">
        <v>0.45298676085055339</v>
      </c>
      <c r="E30" s="329">
        <v>0.13971232298982031</v>
      </c>
      <c r="F30" s="328">
        <v>0.78256660752299312</v>
      </c>
      <c r="G30" s="329">
        <v>0.11430653060276401</v>
      </c>
      <c r="H30" s="328">
        <v>0.88356370975115517</v>
      </c>
      <c r="I30" s="330">
        <v>0.35589786487723346</v>
      </c>
      <c r="J30" s="329">
        <v>0.44358365033401675</v>
      </c>
    </row>
    <row r="31" spans="1:10">
      <c r="A31" s="326" t="s">
        <v>119</v>
      </c>
      <c r="B31" s="327">
        <v>237</v>
      </c>
      <c r="C31" s="328">
        <v>0.93914776432231006</v>
      </c>
      <c r="D31" s="329">
        <v>0.91914396252499309</v>
      </c>
      <c r="E31" s="329">
        <v>0.13268700447468745</v>
      </c>
      <c r="F31" s="328">
        <v>0.52256584671756545</v>
      </c>
      <c r="G31" s="329">
        <v>0.11694809748778537</v>
      </c>
      <c r="H31" s="328">
        <v>0.59177251669002229</v>
      </c>
      <c r="I31" s="330">
        <v>0.25745026277166994</v>
      </c>
      <c r="J31" s="329">
        <v>0.35020524714341889</v>
      </c>
    </row>
    <row r="32" spans="1:10">
      <c r="A32" s="326" t="s">
        <v>120</v>
      </c>
      <c r="B32" s="327">
        <v>146</v>
      </c>
      <c r="C32" s="328">
        <v>1.2123404210526321</v>
      </c>
      <c r="D32" s="329">
        <v>4.1578056656593726E-2</v>
      </c>
      <c r="E32" s="329">
        <v>6.6459134174714829E-2</v>
      </c>
      <c r="F32" s="328">
        <v>1.1670419053855563</v>
      </c>
      <c r="G32" s="329">
        <v>4.0266264995504016E-2</v>
      </c>
      <c r="H32" s="328">
        <v>1.2160059220801374</v>
      </c>
      <c r="I32" s="330">
        <v>0.44062603326285688</v>
      </c>
      <c r="J32" s="329">
        <v>0.53572956070059219</v>
      </c>
    </row>
    <row r="33" spans="1:10">
      <c r="A33" s="326" t="s">
        <v>121</v>
      </c>
      <c r="B33" s="327">
        <v>553</v>
      </c>
      <c r="C33" s="328">
        <v>1.1209778312512801</v>
      </c>
      <c r="D33" s="329">
        <v>8.0577394942266553E-2</v>
      </c>
      <c r="E33" s="329">
        <v>0.15699508075214155</v>
      </c>
      <c r="F33" s="328">
        <v>1.0496763205391042</v>
      </c>
      <c r="G33" s="329">
        <v>5.1107612199554592E-2</v>
      </c>
      <c r="H33" s="328">
        <v>1.1062121838412871</v>
      </c>
      <c r="I33" s="330">
        <v>0.41259128838107118</v>
      </c>
      <c r="J33" s="329">
        <v>0.50133434090797668</v>
      </c>
    </row>
    <row r="34" spans="1:10">
      <c r="A34" s="326" t="s">
        <v>122</v>
      </c>
      <c r="B34" s="327">
        <v>81</v>
      </c>
      <c r="C34" s="328">
        <v>1.2210112781954889</v>
      </c>
      <c r="D34" s="329">
        <v>0.20296859996617941</v>
      </c>
      <c r="E34" s="329">
        <v>0.12893531403568184</v>
      </c>
      <c r="F34" s="328">
        <v>1.0375701429714395</v>
      </c>
      <c r="G34" s="329">
        <v>7.2367204932038631E-2</v>
      </c>
      <c r="H34" s="328">
        <v>1.1185138650638411</v>
      </c>
      <c r="I34" s="330">
        <v>0.366913012633858</v>
      </c>
      <c r="J34" s="329">
        <v>0.48941543186390157</v>
      </c>
    </row>
    <row r="35" spans="1:10">
      <c r="A35" s="326" t="s">
        <v>123</v>
      </c>
      <c r="B35" s="327">
        <v>513</v>
      </c>
      <c r="C35" s="328">
        <v>1.2176790137107476</v>
      </c>
      <c r="D35" s="329">
        <v>0.16705538248696689</v>
      </c>
      <c r="E35" s="329">
        <v>0.14833747681950407</v>
      </c>
      <c r="F35" s="328">
        <v>1.0660123155881289</v>
      </c>
      <c r="G35" s="329">
        <v>8.2186783541507102E-2</v>
      </c>
      <c r="H35" s="328">
        <v>1.1614697810753722</v>
      </c>
      <c r="I35" s="330">
        <v>0.40629066836451339</v>
      </c>
      <c r="J35" s="329">
        <v>0.50788370742285127</v>
      </c>
    </row>
    <row r="36" spans="1:10">
      <c r="A36" s="326" t="s">
        <v>124</v>
      </c>
      <c r="B36" s="327">
        <v>90</v>
      </c>
      <c r="C36" s="328">
        <v>1.3764288847117794</v>
      </c>
      <c r="D36" s="329">
        <v>0.45983263751011044</v>
      </c>
      <c r="E36" s="329">
        <v>0.10598802544191882</v>
      </c>
      <c r="F36" s="328">
        <v>0.97543256988954807</v>
      </c>
      <c r="G36" s="329">
        <v>0.14464904710556795</v>
      </c>
      <c r="H36" s="328">
        <v>1.1403887101414576</v>
      </c>
      <c r="I36" s="330">
        <v>0.41863088790690067</v>
      </c>
      <c r="J36" s="329">
        <v>0.53132553972593766</v>
      </c>
    </row>
    <row r="37" spans="1:10">
      <c r="A37" s="326" t="s">
        <v>125</v>
      </c>
      <c r="B37" s="327">
        <v>721</v>
      </c>
      <c r="C37" s="328">
        <v>1.3756352554179563</v>
      </c>
      <c r="D37" s="329">
        <v>0.16801467765003694</v>
      </c>
      <c r="E37" s="329">
        <v>0.12989177415512532</v>
      </c>
      <c r="F37" s="328">
        <v>1.2001798231910963</v>
      </c>
      <c r="G37" s="329">
        <v>0.12260016961531485</v>
      </c>
      <c r="H37" s="328">
        <v>1.3678824426771228</v>
      </c>
      <c r="I37" s="330">
        <v>0.42322220063608612</v>
      </c>
      <c r="J37" s="329">
        <v>0.47864879821473338</v>
      </c>
    </row>
    <row r="38" spans="1:10">
      <c r="A38" s="326" t="s">
        <v>126</v>
      </c>
      <c r="B38" s="327">
        <v>677</v>
      </c>
      <c r="C38" s="328">
        <v>1.2691985940246056</v>
      </c>
      <c r="D38" s="329">
        <v>0.79305754635981796</v>
      </c>
      <c r="E38" s="329">
        <v>0.14457853927701597</v>
      </c>
      <c r="F38" s="328">
        <v>0.7561962405284598</v>
      </c>
      <c r="G38" s="329">
        <v>0.18880261604798826</v>
      </c>
      <c r="H38" s="328">
        <v>0.93219758284278986</v>
      </c>
      <c r="I38" s="330">
        <v>0.37014191150490988</v>
      </c>
      <c r="J38" s="329">
        <v>0.46822606873313893</v>
      </c>
    </row>
    <row r="39" spans="1:10">
      <c r="A39" s="326" t="s">
        <v>127</v>
      </c>
      <c r="B39" s="327">
        <v>151</v>
      </c>
      <c r="C39" s="328">
        <v>1.3523608746130031</v>
      </c>
      <c r="D39" s="329">
        <v>7.0070160100704659E-2</v>
      </c>
      <c r="E39" s="329">
        <v>0.12176555647496168</v>
      </c>
      <c r="F39" s="328">
        <v>1.2739636629690148</v>
      </c>
      <c r="G39" s="329">
        <v>5.7590789297408781E-2</v>
      </c>
      <c r="H39" s="328">
        <v>1.3518158019903486</v>
      </c>
      <c r="I39" s="330">
        <v>0.45683651240248674</v>
      </c>
      <c r="J39" s="329">
        <v>0.5921316668252613</v>
      </c>
    </row>
    <row r="40" spans="1:10">
      <c r="A40" s="326" t="s">
        <v>128</v>
      </c>
      <c r="B40" s="327">
        <v>94</v>
      </c>
      <c r="C40" s="328">
        <v>1.8315383077948031</v>
      </c>
      <c r="D40" s="329">
        <v>0.11610851155217594</v>
      </c>
      <c r="E40" s="329">
        <v>0.12633177398325843</v>
      </c>
      <c r="F40" s="328">
        <v>1.6628575139345836</v>
      </c>
      <c r="G40" s="329">
        <v>8.3960677539659981E-2</v>
      </c>
      <c r="H40" s="328">
        <v>1.8152687042608666</v>
      </c>
      <c r="I40" s="330">
        <v>0.45203961764477579</v>
      </c>
      <c r="J40" s="329">
        <v>0.59363313940706985</v>
      </c>
    </row>
    <row r="41" spans="1:10">
      <c r="A41" s="326" t="s">
        <v>129</v>
      </c>
      <c r="B41" s="327">
        <v>282</v>
      </c>
      <c r="C41" s="328">
        <v>0.96659429824561482</v>
      </c>
      <c r="D41" s="329">
        <v>0.27831517899242125</v>
      </c>
      <c r="E41" s="329">
        <v>0.10234148376003629</v>
      </c>
      <c r="F41" s="328">
        <v>0.77337938658862404</v>
      </c>
      <c r="G41" s="329">
        <v>6.1295720246189005E-2</v>
      </c>
      <c r="H41" s="328">
        <v>0.82387968529498357</v>
      </c>
      <c r="I41" s="330">
        <v>0.33378967772198032</v>
      </c>
      <c r="J41" s="329">
        <v>0.44421981562922119</v>
      </c>
    </row>
    <row r="42" spans="1:10">
      <c r="A42" s="326" t="s">
        <v>130</v>
      </c>
      <c r="B42" s="327">
        <v>509</v>
      </c>
      <c r="C42" s="328">
        <v>0.66603755106945484</v>
      </c>
      <c r="D42" s="329">
        <v>1.010784068198576</v>
      </c>
      <c r="E42" s="329">
        <v>0.16900956891597149</v>
      </c>
      <c r="F42" s="328">
        <v>0.36198639497515983</v>
      </c>
      <c r="G42" s="329">
        <v>0.13408894165927024</v>
      </c>
      <c r="H42" s="328">
        <v>0.41804108111149768</v>
      </c>
      <c r="I42" s="330">
        <v>0.3312556985477077</v>
      </c>
      <c r="J42" s="329">
        <v>0.44032634577443502</v>
      </c>
    </row>
    <row r="43" spans="1:10">
      <c r="A43" s="326" t="s">
        <v>131</v>
      </c>
      <c r="B43" s="327">
        <v>815</v>
      </c>
      <c r="C43" s="328">
        <v>0.87115197191091065</v>
      </c>
      <c r="D43" s="329">
        <v>0.2811135862400857</v>
      </c>
      <c r="E43" s="329">
        <v>0.14137625447026311</v>
      </c>
      <c r="F43" s="328">
        <v>0.70176612151227058</v>
      </c>
      <c r="G43" s="329">
        <v>7.17009810044065E-2</v>
      </c>
      <c r="H43" s="328">
        <v>0.75596990533456732</v>
      </c>
      <c r="I43" s="330">
        <v>0.34769431630101527</v>
      </c>
      <c r="J43" s="329">
        <v>0.42865611928128544</v>
      </c>
    </row>
    <row r="44" spans="1:10">
      <c r="A44" s="326" t="s">
        <v>132</v>
      </c>
      <c r="B44" s="327">
        <v>53</v>
      </c>
      <c r="C44" s="328">
        <v>0.75980643274853799</v>
      </c>
      <c r="D44" s="329">
        <v>0.53190317211540383</v>
      </c>
      <c r="E44" s="329">
        <v>0.12906231536637155</v>
      </c>
      <c r="F44" s="328">
        <v>0.51925787607836904</v>
      </c>
      <c r="G44" s="329">
        <v>5.4617121529538251E-2</v>
      </c>
      <c r="H44" s="328">
        <v>0.54925669578285374</v>
      </c>
      <c r="I44" s="330">
        <v>0.34365420437101912</v>
      </c>
      <c r="J44" s="329">
        <v>0.43070907226589372</v>
      </c>
    </row>
    <row r="45" spans="1:10">
      <c r="A45" s="326" t="s">
        <v>133</v>
      </c>
      <c r="B45" s="327">
        <v>196</v>
      </c>
      <c r="C45" s="328">
        <v>1.0734797238999141</v>
      </c>
      <c r="D45" s="329">
        <v>0.11318963235180399</v>
      </c>
      <c r="E45" s="329">
        <v>0.16504783291531219</v>
      </c>
      <c r="F45" s="328">
        <v>0.98078752618416909</v>
      </c>
      <c r="G45" s="329">
        <v>0.14484947418813413</v>
      </c>
      <c r="H45" s="328">
        <v>1.1469179946454755</v>
      </c>
      <c r="I45" s="330">
        <v>0.39080885425319634</v>
      </c>
      <c r="J45" s="329">
        <v>0.49065165036112701</v>
      </c>
    </row>
    <row r="46" spans="1:10">
      <c r="A46" s="326" t="s">
        <v>134</v>
      </c>
      <c r="B46" s="327">
        <v>71</v>
      </c>
      <c r="C46" s="328">
        <v>1.0559283400809718</v>
      </c>
      <c r="D46" s="329">
        <v>0.59600975445592508</v>
      </c>
      <c r="E46" s="329">
        <v>0.1047973347571246</v>
      </c>
      <c r="F46" s="328">
        <v>0.68855183730825653</v>
      </c>
      <c r="G46" s="329">
        <v>2.6276278555865874E-2</v>
      </c>
      <c r="H46" s="328">
        <v>0.70713265184405916</v>
      </c>
      <c r="I46" s="330">
        <v>0.36481115840505968</v>
      </c>
      <c r="J46" s="329">
        <v>0.51361931599538901</v>
      </c>
    </row>
    <row r="47" spans="1:10">
      <c r="A47" s="326" t="s">
        <v>135</v>
      </c>
      <c r="B47" s="327">
        <v>155</v>
      </c>
      <c r="C47" s="328">
        <v>1.2103294495781436</v>
      </c>
      <c r="D47" s="329">
        <v>5.8593686783651663E-2</v>
      </c>
      <c r="E47" s="329">
        <v>0.10543951176603164</v>
      </c>
      <c r="F47" s="328">
        <v>1.150048947358044</v>
      </c>
      <c r="G47" s="329">
        <v>5.7701239214017423E-2</v>
      </c>
      <c r="H47" s="328">
        <v>1.2204716754575529</v>
      </c>
      <c r="I47" s="330">
        <v>0.43760011116850367</v>
      </c>
      <c r="J47" s="329">
        <v>0.53333726135334891</v>
      </c>
    </row>
    <row r="48" spans="1:10">
      <c r="A48" s="326" t="s">
        <v>136</v>
      </c>
      <c r="B48" s="327">
        <v>99</v>
      </c>
      <c r="C48" s="328">
        <v>1.6234928229665067</v>
      </c>
      <c r="D48" s="329">
        <v>0.227246133500216</v>
      </c>
      <c r="E48" s="329">
        <v>0.1660466879899791</v>
      </c>
      <c r="F48" s="328">
        <v>1.3648386182139873</v>
      </c>
      <c r="G48" s="329">
        <v>0.11205446437396832</v>
      </c>
      <c r="H48" s="328">
        <v>1.5370747004789318</v>
      </c>
      <c r="I48" s="330">
        <v>0.38423756412026616</v>
      </c>
      <c r="J48" s="329">
        <v>0.50606605471938426</v>
      </c>
    </row>
    <row r="49" spans="1:10">
      <c r="A49" s="326" t="s">
        <v>137</v>
      </c>
      <c r="B49" s="327">
        <v>45</v>
      </c>
      <c r="C49" s="328">
        <v>1.3693362573099412</v>
      </c>
      <c r="D49" s="329">
        <v>4.4678277624143815E-2</v>
      </c>
      <c r="E49" s="329">
        <v>7.2060763884600268E-2</v>
      </c>
      <c r="F49" s="328">
        <v>1.3148252754143139</v>
      </c>
      <c r="G49" s="329">
        <v>2.2860050375035138E-2</v>
      </c>
      <c r="H49" s="328">
        <v>1.3455854260374429</v>
      </c>
      <c r="I49" s="330">
        <v>0.50420317240793733</v>
      </c>
      <c r="J49" s="329">
        <v>0.6798570679201722</v>
      </c>
    </row>
    <row r="50" spans="1:10">
      <c r="A50" s="326" t="s">
        <v>138</v>
      </c>
      <c r="B50" s="327">
        <v>30</v>
      </c>
      <c r="C50" s="328">
        <v>1.7502838345864664</v>
      </c>
      <c r="D50" s="329">
        <v>0.83733898077762303</v>
      </c>
      <c r="E50" s="329">
        <v>0.11572936416427201</v>
      </c>
      <c r="F50" s="328">
        <v>1.0056592551625325</v>
      </c>
      <c r="G50" s="329">
        <v>9.8021430493371822E-2</v>
      </c>
      <c r="H50" s="328">
        <v>1.1149480588132117</v>
      </c>
      <c r="I50" s="330">
        <v>0.38753012629644645</v>
      </c>
      <c r="J50" s="329">
        <v>0.4641303296252261</v>
      </c>
    </row>
    <row r="51" spans="1:10">
      <c r="A51" s="326" t="s">
        <v>139</v>
      </c>
      <c r="B51" s="327">
        <v>82</v>
      </c>
      <c r="C51" s="328">
        <v>0.58664722617354181</v>
      </c>
      <c r="D51" s="329">
        <v>0.18148001641799275</v>
      </c>
      <c r="E51" s="329">
        <v>0.19078627367235432</v>
      </c>
      <c r="F51" s="328">
        <v>0.51152643803289322</v>
      </c>
      <c r="G51" s="329">
        <v>3.0951873690492362E-2</v>
      </c>
      <c r="H51" s="328">
        <v>0.52786484401035316</v>
      </c>
      <c r="I51" s="330">
        <v>0.26731347352260976</v>
      </c>
      <c r="J51" s="329">
        <v>0.31256320014946043</v>
      </c>
    </row>
    <row r="52" spans="1:10">
      <c r="A52" s="326" t="s">
        <v>140</v>
      </c>
      <c r="B52" s="327">
        <v>399</v>
      </c>
      <c r="C52" s="328">
        <v>0.91934260857060679</v>
      </c>
      <c r="D52" s="329">
        <v>0.29774259203971992</v>
      </c>
      <c r="E52" s="329">
        <v>0.13573563969506558</v>
      </c>
      <c r="F52" s="328">
        <v>0.73118739206066419</v>
      </c>
      <c r="G52" s="329">
        <v>0.11541810234544941</v>
      </c>
      <c r="H52" s="328">
        <v>0.82659095104635483</v>
      </c>
      <c r="I52" s="330">
        <v>0.30596211346375851</v>
      </c>
      <c r="J52" s="329">
        <v>0.42875403143340612</v>
      </c>
    </row>
    <row r="53" spans="1:10">
      <c r="A53" s="326" t="s">
        <v>141</v>
      </c>
      <c r="B53" s="327">
        <v>221</v>
      </c>
      <c r="C53" s="328">
        <v>1.0589694311536417</v>
      </c>
      <c r="D53" s="329">
        <v>7.7099650131183473E-2</v>
      </c>
      <c r="E53" s="329">
        <v>0.15200374928384533</v>
      </c>
      <c r="F53" s="328">
        <v>0.99398263361434247</v>
      </c>
      <c r="G53" s="329">
        <v>4.6872187993979721E-2</v>
      </c>
      <c r="H53" s="328">
        <v>1.0428639486684752</v>
      </c>
      <c r="I53" s="330">
        <v>0.3932012604734858</v>
      </c>
      <c r="J53" s="329">
        <v>0.49829964618128458</v>
      </c>
    </row>
    <row r="54" spans="1:10">
      <c r="A54" s="326" t="s">
        <v>142</v>
      </c>
      <c r="B54" s="327">
        <v>51</v>
      </c>
      <c r="C54" s="328">
        <v>1.1747552631578948</v>
      </c>
      <c r="D54" s="329">
        <v>0.14040751676489746</v>
      </c>
      <c r="E54" s="329">
        <v>0.18682938218198153</v>
      </c>
      <c r="F54" s="328">
        <v>1.0543720523958784</v>
      </c>
      <c r="G54" s="329">
        <v>4.7263480221275987E-2</v>
      </c>
      <c r="H54" s="328">
        <v>1.1066774816617291</v>
      </c>
      <c r="I54" s="330">
        <v>0.38908542306136856</v>
      </c>
      <c r="J54" s="329">
        <v>0.51306707212669034</v>
      </c>
    </row>
    <row r="55" spans="1:10">
      <c r="A55" s="326" t="s">
        <v>143</v>
      </c>
      <c r="B55" s="327">
        <v>140</v>
      </c>
      <c r="C55" s="328">
        <v>0.64411133603238879</v>
      </c>
      <c r="D55" s="329">
        <v>0.36694439856441291</v>
      </c>
      <c r="E55" s="329">
        <v>0.13239047197612297</v>
      </c>
      <c r="F55" s="328">
        <v>0.48856849324280416</v>
      </c>
      <c r="G55" s="329">
        <v>0.11685159226438005</v>
      </c>
      <c r="H55" s="328">
        <v>0.55321222227585376</v>
      </c>
      <c r="I55" s="330">
        <v>0.24343491455109917</v>
      </c>
      <c r="J55" s="329">
        <v>0.34339219208490629</v>
      </c>
    </row>
    <row r="56" spans="1:10">
      <c r="A56" s="326" t="s">
        <v>144</v>
      </c>
      <c r="B56" s="327">
        <v>57</v>
      </c>
      <c r="C56" s="328">
        <v>0.73396325719960287</v>
      </c>
      <c r="D56" s="329">
        <v>0.47176218347412846</v>
      </c>
      <c r="E56" s="329">
        <v>0.12845282424765722</v>
      </c>
      <c r="F56" s="328">
        <v>0.52011231722364182</v>
      </c>
      <c r="G56" s="329">
        <v>0.19860914746965017</v>
      </c>
      <c r="H56" s="328">
        <v>0.64901204647072563</v>
      </c>
      <c r="I56" s="330">
        <v>0.2352315965044188</v>
      </c>
      <c r="J56" s="329">
        <v>0.29953873514822033</v>
      </c>
    </row>
    <row r="57" spans="1:10">
      <c r="A57" s="326" t="s">
        <v>145</v>
      </c>
      <c r="B57" s="327">
        <v>130</v>
      </c>
      <c r="C57" s="328">
        <v>0.40163423264042453</v>
      </c>
      <c r="D57" s="329">
        <v>0.26360298618026667</v>
      </c>
      <c r="E57" s="329">
        <v>0.16424312144519324</v>
      </c>
      <c r="F57" s="328">
        <v>0.32912529435901439</v>
      </c>
      <c r="G57" s="329">
        <v>0.12258394516545044</v>
      </c>
      <c r="H57" s="328">
        <v>0.37510744480402297</v>
      </c>
      <c r="I57" s="330">
        <v>0.24801974565519022</v>
      </c>
      <c r="J57" s="329">
        <v>0.32716900903099982</v>
      </c>
    </row>
    <row r="58" spans="1:10">
      <c r="A58" s="326" t="s">
        <v>146</v>
      </c>
      <c r="B58" s="327">
        <v>303</v>
      </c>
      <c r="C58" s="328">
        <v>0.86651054679500328</v>
      </c>
      <c r="D58" s="329">
        <v>1.9028697696898225</v>
      </c>
      <c r="E58" s="329">
        <v>7.7686579376354467E-2</v>
      </c>
      <c r="F58" s="328">
        <v>0.31451805241909603</v>
      </c>
      <c r="G58" s="329">
        <v>8.5648848273946102E-2</v>
      </c>
      <c r="H58" s="328">
        <v>0.34397950046365544</v>
      </c>
      <c r="I58" s="330">
        <v>0.34157407427139536</v>
      </c>
      <c r="J58" s="329">
        <v>0.46558894541361512</v>
      </c>
    </row>
    <row r="59" spans="1:10">
      <c r="A59" s="326" t="s">
        <v>147</v>
      </c>
      <c r="B59" s="327">
        <v>648</v>
      </c>
      <c r="C59" s="328">
        <v>1.2501780448574729</v>
      </c>
      <c r="D59" s="329">
        <v>0.13554862047754676</v>
      </c>
      <c r="E59" s="329">
        <v>0.15697807507616876</v>
      </c>
      <c r="F59" s="328">
        <v>1.1219700161746087</v>
      </c>
      <c r="G59" s="329">
        <v>6.0510673448067938E-2</v>
      </c>
      <c r="H59" s="328">
        <v>1.1942339146016787</v>
      </c>
      <c r="I59" s="330">
        <v>0.4030395568000627</v>
      </c>
      <c r="J59" s="329">
        <v>0.49405959150577755</v>
      </c>
    </row>
    <row r="60" spans="1:10">
      <c r="A60" s="326" t="s">
        <v>148</v>
      </c>
      <c r="B60" s="327">
        <v>301</v>
      </c>
      <c r="C60" s="328">
        <v>1.4386402856583835</v>
      </c>
      <c r="D60" s="329">
        <v>0.49328958462616129</v>
      </c>
      <c r="E60" s="329">
        <v>0.10607356071575541</v>
      </c>
      <c r="F60" s="328">
        <v>0.99838697199127135</v>
      </c>
      <c r="G60" s="329">
        <v>7.891580988979538E-2</v>
      </c>
      <c r="H60" s="328">
        <v>1.0839258590160121</v>
      </c>
      <c r="I60" s="330">
        <v>0.4329408016683382</v>
      </c>
      <c r="J60" s="329">
        <v>0.53600798900167179</v>
      </c>
    </row>
    <row r="61" spans="1:10">
      <c r="A61" s="326" t="s">
        <v>149</v>
      </c>
      <c r="B61" s="327">
        <v>61</v>
      </c>
      <c r="C61" s="328">
        <v>0.88880506822612082</v>
      </c>
      <c r="D61" s="329">
        <v>0.10165691862708111</v>
      </c>
      <c r="E61" s="329">
        <v>0.12264558660771527</v>
      </c>
      <c r="F61" s="328">
        <v>0.81602453652737961</v>
      </c>
      <c r="G61" s="329">
        <v>7.2247103186626777E-2</v>
      </c>
      <c r="H61" s="328">
        <v>0.87957099280448925</v>
      </c>
      <c r="I61" s="330">
        <v>0.41840276966067425</v>
      </c>
      <c r="J61" s="329">
        <v>0.50874465068740182</v>
      </c>
    </row>
    <row r="62" spans="1:10">
      <c r="A62" s="326" t="s">
        <v>150</v>
      </c>
      <c r="B62" s="327">
        <v>22</v>
      </c>
      <c r="C62" s="328">
        <v>1.5684545454545455</v>
      </c>
      <c r="D62" s="329">
        <v>0.67715576608544503</v>
      </c>
      <c r="E62" s="329">
        <v>0.27671608336879477</v>
      </c>
      <c r="F62" s="328">
        <v>1.0528124210687881</v>
      </c>
      <c r="G62" s="329">
        <v>8.0159959293595887E-2</v>
      </c>
      <c r="H62" s="328">
        <v>1.1445603305768968</v>
      </c>
      <c r="I62" s="330">
        <v>0.2965975198684494</v>
      </c>
      <c r="J62" s="329">
        <v>0.32721023421467915</v>
      </c>
    </row>
    <row r="63" spans="1:10">
      <c r="A63" s="326" t="s">
        <v>151</v>
      </c>
      <c r="B63" s="327">
        <v>132</v>
      </c>
      <c r="C63" s="328">
        <v>2.2963578947368424</v>
      </c>
      <c r="D63" s="329">
        <v>0.55813038947343718</v>
      </c>
      <c r="E63" s="329">
        <v>7.8891300977584233E-2</v>
      </c>
      <c r="F63" s="328">
        <v>1.516650009929857</v>
      </c>
      <c r="G63" s="329">
        <v>7.1371448846425656E-2</v>
      </c>
      <c r="H63" s="328">
        <v>1.6332149254358184</v>
      </c>
      <c r="I63" s="330">
        <v>0.46499612893973075</v>
      </c>
      <c r="J63" s="329">
        <v>0.57113679577524179</v>
      </c>
    </row>
    <row r="64" spans="1:10">
      <c r="A64" s="326" t="s">
        <v>152</v>
      </c>
      <c r="B64" s="327">
        <v>81</v>
      </c>
      <c r="C64" s="328">
        <v>1.7769453178400554</v>
      </c>
      <c r="D64" s="329">
        <v>0.9780712642053625</v>
      </c>
      <c r="E64" s="329">
        <v>0.1271230616069472</v>
      </c>
      <c r="F64" s="328">
        <v>0.95857525614361139</v>
      </c>
      <c r="G64" s="329">
        <v>6.9249908545503835E-2</v>
      </c>
      <c r="H64" s="328">
        <v>1.0298954197744234</v>
      </c>
      <c r="I64" s="330">
        <v>0.34912059798076905</v>
      </c>
      <c r="J64" s="329">
        <v>0.45980028314263782</v>
      </c>
    </row>
    <row r="65" spans="1:10">
      <c r="A65" s="326" t="s">
        <v>153</v>
      </c>
      <c r="B65" s="327">
        <v>248</v>
      </c>
      <c r="C65" s="328">
        <v>1.5839826869806091</v>
      </c>
      <c r="D65" s="329">
        <v>0.49913362478459655</v>
      </c>
      <c r="E65" s="329">
        <v>0.12893604000770045</v>
      </c>
      <c r="F65" s="328">
        <v>1.1039920090640012</v>
      </c>
      <c r="G65" s="329">
        <v>6.2997280579441858E-2</v>
      </c>
      <c r="H65" s="328">
        <v>1.178216440766265</v>
      </c>
      <c r="I65" s="330">
        <v>0.39921154609082876</v>
      </c>
      <c r="J65" s="329">
        <v>0.50049681002770552</v>
      </c>
    </row>
    <row r="66" spans="1:10">
      <c r="A66" s="326" t="s">
        <v>154</v>
      </c>
      <c r="B66" s="327">
        <v>281</v>
      </c>
      <c r="C66" s="328">
        <v>0.75094938495664432</v>
      </c>
      <c r="D66" s="329">
        <v>0.2731049826536785</v>
      </c>
      <c r="E66" s="329">
        <v>0.17370166143068386</v>
      </c>
      <c r="F66" s="328">
        <v>0.61268670783860979</v>
      </c>
      <c r="G66" s="329">
        <v>6.9097866088731572E-2</v>
      </c>
      <c r="H66" s="328">
        <v>0.65816446812121043</v>
      </c>
      <c r="I66" s="330">
        <v>0.36616506345893013</v>
      </c>
      <c r="J66" s="329">
        <v>0.43557853954587139</v>
      </c>
    </row>
    <row r="67" spans="1:10">
      <c r="A67" s="326" t="s">
        <v>155</v>
      </c>
      <c r="B67" s="327">
        <v>191</v>
      </c>
      <c r="C67" s="328">
        <v>0.97741990221455322</v>
      </c>
      <c r="D67" s="329">
        <v>0.65519516846207393</v>
      </c>
      <c r="E67" s="329">
        <v>0.12563102207210267</v>
      </c>
      <c r="F67" s="328">
        <v>0.62141959617801257</v>
      </c>
      <c r="G67" s="329">
        <v>6.4698183060365663E-2</v>
      </c>
      <c r="H67" s="328">
        <v>0.66440541964446953</v>
      </c>
      <c r="I67" s="330">
        <v>0.38847299543543767</v>
      </c>
      <c r="J67" s="329">
        <v>0.47217476586200957</v>
      </c>
    </row>
    <row r="68" spans="1:10">
      <c r="A68" s="326" t="s">
        <v>156</v>
      </c>
      <c r="B68" s="327">
        <v>355</v>
      </c>
      <c r="C68" s="328">
        <v>0.93582592301649581</v>
      </c>
      <c r="D68" s="329">
        <v>0.90620027221091259</v>
      </c>
      <c r="E68" s="329">
        <v>0.16668585008300824</v>
      </c>
      <c r="F68" s="328">
        <v>0.53318872150519225</v>
      </c>
      <c r="G68" s="329">
        <v>5.9874039657769697E-2</v>
      </c>
      <c r="H68" s="328">
        <v>0.56714604637776167</v>
      </c>
      <c r="I68" s="330">
        <v>0.31335614693874791</v>
      </c>
      <c r="J68" s="329">
        <v>0.38742096528670678</v>
      </c>
    </row>
    <row r="69" spans="1:10">
      <c r="A69" s="326" t="s">
        <v>157</v>
      </c>
      <c r="B69" s="327">
        <v>96</v>
      </c>
      <c r="C69" s="328">
        <v>1.6346590774689527</v>
      </c>
      <c r="D69" s="329">
        <v>0.45617914559579192</v>
      </c>
      <c r="E69" s="329">
        <v>0.12095539860779168</v>
      </c>
      <c r="F69" s="328">
        <v>1.1667787005909698</v>
      </c>
      <c r="G69" s="329">
        <v>7.2057948506993846E-2</v>
      </c>
      <c r="H69" s="328">
        <v>1.2573831509345752</v>
      </c>
      <c r="I69" s="330">
        <v>0.51750222182064964</v>
      </c>
      <c r="J69" s="329">
        <v>0.5695642870447899</v>
      </c>
    </row>
    <row r="70" spans="1:10">
      <c r="A70" s="326" t="s">
        <v>158</v>
      </c>
      <c r="B70" s="327">
        <v>153</v>
      </c>
      <c r="C70" s="328">
        <v>1.0367528690146419</v>
      </c>
      <c r="D70" s="329">
        <v>6.8843829654381059E-2</v>
      </c>
      <c r="E70" s="329">
        <v>0.13405182130204377</v>
      </c>
      <c r="F70" s="328">
        <v>0.97842394094707785</v>
      </c>
      <c r="G70" s="329">
        <v>8.4777595826081312E-2</v>
      </c>
      <c r="H70" s="328">
        <v>1.0690559327273079</v>
      </c>
      <c r="I70" s="330">
        <v>0.36856209071509821</v>
      </c>
      <c r="J70" s="329">
        <v>0.48063018121855788</v>
      </c>
    </row>
    <row r="71" spans="1:10">
      <c r="A71" s="326" t="s">
        <v>159</v>
      </c>
      <c r="B71" s="327">
        <v>72</v>
      </c>
      <c r="C71" s="328">
        <v>0.75584069548872157</v>
      </c>
      <c r="D71" s="329">
        <v>0.44327474524967286</v>
      </c>
      <c r="E71" s="329">
        <v>3.2840480010256516E-2</v>
      </c>
      <c r="F71" s="328">
        <v>0.52903443386642346</v>
      </c>
      <c r="G71" s="329">
        <v>2.1568870026957947E-2</v>
      </c>
      <c r="H71" s="328">
        <v>0.5406966496262231</v>
      </c>
      <c r="I71" s="330">
        <v>0.16008265560974705</v>
      </c>
      <c r="J71" s="329">
        <v>0.18494917699226479</v>
      </c>
    </row>
    <row r="72" spans="1:10">
      <c r="A72" s="326" t="s">
        <v>160</v>
      </c>
      <c r="B72" s="327">
        <v>629</v>
      </c>
      <c r="C72" s="328">
        <v>1.2121942672337418</v>
      </c>
      <c r="D72" s="329">
        <v>0.9362707640350002</v>
      </c>
      <c r="E72" s="329">
        <v>0.19768601954696255</v>
      </c>
      <c r="F72" s="328">
        <v>0.69221445260875125</v>
      </c>
      <c r="G72" s="329">
        <v>0.14400332842541108</v>
      </c>
      <c r="H72" s="328">
        <v>0.80866488807186188</v>
      </c>
      <c r="I72" s="330">
        <v>0.34912833925211884</v>
      </c>
      <c r="J72" s="329">
        <v>0.44455100698015065</v>
      </c>
    </row>
    <row r="73" spans="1:10">
      <c r="A73" s="326" t="s">
        <v>161</v>
      </c>
      <c r="B73" s="327">
        <v>289</v>
      </c>
      <c r="C73" s="328">
        <v>1.2044978383458649</v>
      </c>
      <c r="D73" s="329">
        <v>0.58791165916055843</v>
      </c>
      <c r="E73" s="329">
        <v>0.15010181177037873</v>
      </c>
      <c r="F73" s="328">
        <v>0.80317790640355202</v>
      </c>
      <c r="G73" s="329">
        <v>9.9814206904129288E-2</v>
      </c>
      <c r="H73" s="328">
        <v>0.8922357057439283</v>
      </c>
      <c r="I73" s="330">
        <v>0.31992264077126786</v>
      </c>
      <c r="J73" s="329">
        <v>0.43095925374875538</v>
      </c>
    </row>
    <row r="74" spans="1:10">
      <c r="A74" s="326" t="s">
        <v>162</v>
      </c>
      <c r="B74" s="327">
        <v>272</v>
      </c>
      <c r="C74" s="328">
        <v>0.94701648700063423</v>
      </c>
      <c r="D74" s="329">
        <v>0.84109620432035126</v>
      </c>
      <c r="E74" s="329">
        <v>0.11663853705496656</v>
      </c>
      <c r="F74" s="328">
        <v>0.54332808262156929</v>
      </c>
      <c r="G74" s="329">
        <v>7.0156983212411456E-2</v>
      </c>
      <c r="H74" s="328">
        <v>0.58432237787691643</v>
      </c>
      <c r="I74" s="330">
        <v>0.30885309079664769</v>
      </c>
      <c r="J74" s="329">
        <v>0.4092338194351216</v>
      </c>
    </row>
    <row r="75" spans="1:10">
      <c r="A75" s="326" t="s">
        <v>163</v>
      </c>
      <c r="B75" s="327">
        <v>113</v>
      </c>
      <c r="C75" s="328">
        <v>1.2575160401002514</v>
      </c>
      <c r="D75" s="329">
        <v>0.151781564260487</v>
      </c>
      <c r="E75" s="329">
        <v>0.15259364990238794</v>
      </c>
      <c r="F75" s="328">
        <v>1.1142061129381799</v>
      </c>
      <c r="G75" s="329">
        <v>7.8916793864732313E-2</v>
      </c>
      <c r="H75" s="328">
        <v>1.2096693387921251</v>
      </c>
      <c r="I75" s="330">
        <v>0.37222346426512165</v>
      </c>
      <c r="J75" s="329">
        <v>0.49108783072442125</v>
      </c>
    </row>
    <row r="76" spans="1:10">
      <c r="A76" s="326" t="s">
        <v>164</v>
      </c>
      <c r="B76" s="327">
        <v>30</v>
      </c>
      <c r="C76" s="328">
        <v>1.0704434697855751</v>
      </c>
      <c r="D76" s="329">
        <v>0.17004867839692331</v>
      </c>
      <c r="E76" s="329">
        <v>0.13230640107883057</v>
      </c>
      <c r="F76" s="328">
        <v>0.93280757273986081</v>
      </c>
      <c r="G76" s="329">
        <v>0.11835153147079024</v>
      </c>
      <c r="H76" s="328">
        <v>1.058026646715551</v>
      </c>
      <c r="I76" s="330">
        <v>0.23423100014900181</v>
      </c>
      <c r="J76" s="329">
        <v>0.3007176380864201</v>
      </c>
    </row>
    <row r="77" spans="1:10">
      <c r="A77" s="326" t="s">
        <v>165</v>
      </c>
      <c r="B77" s="327">
        <v>79</v>
      </c>
      <c r="C77" s="328">
        <v>1.2449619487908961</v>
      </c>
      <c r="D77" s="329">
        <v>0.24913893033957385</v>
      </c>
      <c r="E77" s="329">
        <v>0.15032439032501141</v>
      </c>
      <c r="F77" s="328">
        <v>1.0274614391148678</v>
      </c>
      <c r="G77" s="329">
        <v>7.4732258871610849E-2</v>
      </c>
      <c r="H77" s="328">
        <v>1.1104477044253704</v>
      </c>
      <c r="I77" s="330">
        <v>0.35883121925384848</v>
      </c>
      <c r="J77" s="329">
        <v>0.5022264245785365</v>
      </c>
    </row>
    <row r="78" spans="1:10">
      <c r="A78" s="326" t="s">
        <v>166</v>
      </c>
      <c r="B78" s="327">
        <v>75</v>
      </c>
      <c r="C78" s="328">
        <v>1.1030091533180779</v>
      </c>
      <c r="D78" s="329">
        <v>0.72881906934682283</v>
      </c>
      <c r="E78" s="329">
        <v>0.19093036261146593</v>
      </c>
      <c r="F78" s="328">
        <v>0.69386247388003852</v>
      </c>
      <c r="G78" s="329">
        <v>0.13789717773129412</v>
      </c>
      <c r="H78" s="328">
        <v>0.80484886020216606</v>
      </c>
      <c r="I78" s="330">
        <v>0.34460902029544371</v>
      </c>
      <c r="J78" s="329">
        <v>0.44909967003567319</v>
      </c>
    </row>
    <row r="79" spans="1:10">
      <c r="A79" s="326" t="s">
        <v>167</v>
      </c>
      <c r="B79" s="327">
        <v>13</v>
      </c>
      <c r="C79" s="328">
        <v>1.4201710526315787</v>
      </c>
      <c r="D79" s="329">
        <v>0.26353688928375979</v>
      </c>
      <c r="E79" s="329">
        <v>0.17052767375771602</v>
      </c>
      <c r="F79" s="328">
        <v>1.1654152844386267</v>
      </c>
      <c r="G79" s="329">
        <v>6.7218425411480487E-2</v>
      </c>
      <c r="H79" s="328">
        <v>1.2493978399527559</v>
      </c>
      <c r="I79" s="330">
        <v>0.38743233665528742</v>
      </c>
      <c r="J79" s="329">
        <v>0.57574672192743115</v>
      </c>
    </row>
    <row r="80" spans="1:10">
      <c r="A80" s="326" t="s">
        <v>168</v>
      </c>
      <c r="B80" s="327">
        <v>467</v>
      </c>
      <c r="C80" s="328">
        <v>1.0234916768665849</v>
      </c>
      <c r="D80" s="329">
        <v>0.52615376329976482</v>
      </c>
      <c r="E80" s="329">
        <v>0.14911126087653323</v>
      </c>
      <c r="F80" s="328">
        <v>0.70697856605463316</v>
      </c>
      <c r="G80" s="329">
        <v>9.8091532246168261E-2</v>
      </c>
      <c r="H80" s="328">
        <v>0.78386952926091935</v>
      </c>
      <c r="I80" s="330">
        <v>0.40320233746378742</v>
      </c>
      <c r="J80" s="329">
        <v>0.52186961322569569</v>
      </c>
    </row>
    <row r="81" spans="1:10">
      <c r="A81" s="326" t="s">
        <v>169</v>
      </c>
      <c r="B81" s="327">
        <v>137</v>
      </c>
      <c r="C81" s="328">
        <v>1.231668695993716</v>
      </c>
      <c r="D81" s="329">
        <v>0.38581100398707158</v>
      </c>
      <c r="E81" s="329">
        <v>0.24395378589228564</v>
      </c>
      <c r="F81" s="328">
        <v>0.95353203257967045</v>
      </c>
      <c r="G81" s="329">
        <v>7.4589012425222173E-2</v>
      </c>
      <c r="H81" s="328">
        <v>1.0303876281808468</v>
      </c>
      <c r="I81" s="330">
        <v>0.34428450738779187</v>
      </c>
      <c r="J81" s="329">
        <v>0.42466199284218292</v>
      </c>
    </row>
    <row r="82" spans="1:10">
      <c r="A82" s="326" t="s">
        <v>170</v>
      </c>
      <c r="B82" s="327">
        <v>61</v>
      </c>
      <c r="C82" s="328">
        <v>0.87146315789473705</v>
      </c>
      <c r="D82" s="329">
        <v>0.37919460725490345</v>
      </c>
      <c r="E82" s="329">
        <v>0.19615535187206201</v>
      </c>
      <c r="F82" s="328">
        <v>0.667883280432918</v>
      </c>
      <c r="G82" s="329">
        <v>5.0595953077072181E-2</v>
      </c>
      <c r="H82" s="328">
        <v>0.70347633612640004</v>
      </c>
      <c r="I82" s="330">
        <v>0.32173359990293976</v>
      </c>
      <c r="J82" s="329">
        <v>0.41997631716218908</v>
      </c>
    </row>
    <row r="83" spans="1:10">
      <c r="A83" s="326" t="s">
        <v>171</v>
      </c>
      <c r="B83" s="327">
        <v>15</v>
      </c>
      <c r="C83" s="328">
        <v>1.6830607287449395</v>
      </c>
      <c r="D83" s="329">
        <v>0.20179831401187492</v>
      </c>
      <c r="E83" s="329">
        <v>0.12504746665374578</v>
      </c>
      <c r="F83" s="328">
        <v>1.4304881042523843</v>
      </c>
      <c r="G83" s="329">
        <v>6.4597824456754147E-2</v>
      </c>
      <c r="H83" s="328">
        <v>1.5292760073191098</v>
      </c>
      <c r="I83" s="330">
        <v>0.51863937342194022</v>
      </c>
      <c r="J83" s="329">
        <v>0.68957809680784032</v>
      </c>
    </row>
    <row r="84" spans="1:10">
      <c r="A84" s="326" t="s">
        <v>172</v>
      </c>
      <c r="B84" s="327">
        <v>166</v>
      </c>
      <c r="C84" s="328">
        <v>1.2536267942583728</v>
      </c>
      <c r="D84" s="329">
        <v>0.26076566715107369</v>
      </c>
      <c r="E84" s="329">
        <v>0.18518431067118946</v>
      </c>
      <c r="F84" s="328">
        <v>1.0339395079906328</v>
      </c>
      <c r="G84" s="329">
        <v>9.9324322628667985E-2</v>
      </c>
      <c r="H84" s="328">
        <v>1.1479598416693544</v>
      </c>
      <c r="I84" s="330">
        <v>0.34902446821901006</v>
      </c>
      <c r="J84" s="329">
        <v>0.43661228480172581</v>
      </c>
    </row>
    <row r="85" spans="1:10">
      <c r="A85" s="326" t="s">
        <v>173</v>
      </c>
      <c r="B85" s="327">
        <v>68</v>
      </c>
      <c r="C85" s="328">
        <v>1.0289269949066215</v>
      </c>
      <c r="D85" s="329">
        <v>0.4045891932964184</v>
      </c>
      <c r="E85" s="329">
        <v>0.16086688971918539</v>
      </c>
      <c r="F85" s="328">
        <v>0.76814018500564385</v>
      </c>
      <c r="G85" s="329">
        <v>8.3217665368433225E-2</v>
      </c>
      <c r="H85" s="328">
        <v>0.83786538635077568</v>
      </c>
      <c r="I85" s="330">
        <v>0.31887222678796234</v>
      </c>
      <c r="J85" s="329">
        <v>0.39505429310766793</v>
      </c>
    </row>
    <row r="86" spans="1:10">
      <c r="A86" s="326" t="s">
        <v>174</v>
      </c>
      <c r="B86" s="327">
        <v>393</v>
      </c>
      <c r="C86" s="328">
        <v>1.5290011441647606</v>
      </c>
      <c r="D86" s="329">
        <v>0.14532837818849786</v>
      </c>
      <c r="E86" s="329">
        <v>0.1162861432189225</v>
      </c>
      <c r="F86" s="328">
        <v>1.3549825008989089</v>
      </c>
      <c r="G86" s="329">
        <v>0.11688960874350458</v>
      </c>
      <c r="H86" s="328">
        <v>1.5343296991116033</v>
      </c>
      <c r="I86" s="330">
        <v>0.41443602759167908</v>
      </c>
      <c r="J86" s="329">
        <v>0.46658923883197978</v>
      </c>
    </row>
    <row r="87" spans="1:10">
      <c r="A87" s="326" t="s">
        <v>175</v>
      </c>
      <c r="B87" s="327">
        <v>153</v>
      </c>
      <c r="C87" s="328">
        <v>1.6066210526315796</v>
      </c>
      <c r="D87" s="329">
        <v>0.28478015459190603</v>
      </c>
      <c r="E87" s="329">
        <v>0.11799411115293748</v>
      </c>
      <c r="F87" s="328">
        <v>1.2840869513653732</v>
      </c>
      <c r="G87" s="329">
        <v>7.8389278103239091E-2</v>
      </c>
      <c r="H87" s="328">
        <v>1.393307305195628</v>
      </c>
      <c r="I87" s="330">
        <v>0.38994198432451455</v>
      </c>
      <c r="J87" s="329">
        <v>0.47337238199009751</v>
      </c>
    </row>
    <row r="88" spans="1:10">
      <c r="A88" s="326" t="s">
        <v>176</v>
      </c>
      <c r="B88" s="327">
        <v>224</v>
      </c>
      <c r="C88" s="328">
        <v>1.166720977083858</v>
      </c>
      <c r="D88" s="329">
        <v>0.70745142091965552</v>
      </c>
      <c r="E88" s="329">
        <v>0.11381611870757917</v>
      </c>
      <c r="F88" s="328">
        <v>0.71712950761563876</v>
      </c>
      <c r="G88" s="329">
        <v>0.10962905030909265</v>
      </c>
      <c r="H88" s="328">
        <v>0.80542779148914345</v>
      </c>
      <c r="I88" s="330">
        <v>0.34970641118181467</v>
      </c>
      <c r="J88" s="329">
        <v>0.444198496376081</v>
      </c>
    </row>
    <row r="89" spans="1:10">
      <c r="A89" s="326" t="s">
        <v>177</v>
      </c>
      <c r="B89" s="327">
        <v>61</v>
      </c>
      <c r="C89" s="328">
        <v>0.91796877787689535</v>
      </c>
      <c r="D89" s="329">
        <v>0.14232042740556539</v>
      </c>
      <c r="E89" s="329">
        <v>0.18782949369489924</v>
      </c>
      <c r="F89" s="328">
        <v>0.82285611233081568</v>
      </c>
      <c r="G89" s="329">
        <v>8.2937833085367854E-2</v>
      </c>
      <c r="H89" s="328">
        <v>0.89727408022864608</v>
      </c>
      <c r="I89" s="330">
        <v>0.37252363797008409</v>
      </c>
      <c r="J89" s="329">
        <v>0.52831067515129371</v>
      </c>
    </row>
    <row r="90" spans="1:10">
      <c r="A90" s="326" t="s">
        <v>178</v>
      </c>
      <c r="B90" s="327">
        <v>50</v>
      </c>
      <c r="C90" s="328">
        <v>1.4226710526315791</v>
      </c>
      <c r="D90" s="329">
        <v>4.0094049726862271E-2</v>
      </c>
      <c r="E90" s="329">
        <v>0.10515880350621037</v>
      </c>
      <c r="F90" s="328">
        <v>1.3733965941034987</v>
      </c>
      <c r="G90" s="329">
        <v>0.11101078539260452</v>
      </c>
      <c r="H90" s="328">
        <v>1.5448968013746176</v>
      </c>
      <c r="I90" s="330">
        <v>0.46403185378440853</v>
      </c>
      <c r="J90" s="329">
        <v>0.60600039075475898</v>
      </c>
    </row>
    <row r="91" spans="1:10">
      <c r="A91" s="326" t="s">
        <v>179</v>
      </c>
      <c r="B91" s="327">
        <v>140</v>
      </c>
      <c r="C91" s="328">
        <v>1.5668183157894742</v>
      </c>
      <c r="D91" s="329">
        <v>4.423159637664352E-2</v>
      </c>
      <c r="E91" s="329">
        <v>0.11986805645046335</v>
      </c>
      <c r="F91" s="328">
        <v>1.5081082049544619</v>
      </c>
      <c r="G91" s="329">
        <v>4.4144444335992072E-2</v>
      </c>
      <c r="H91" s="328">
        <v>1.5777574299987391</v>
      </c>
      <c r="I91" s="330">
        <v>0.44308473341388865</v>
      </c>
      <c r="J91" s="329">
        <v>0.57848300892758719</v>
      </c>
    </row>
    <row r="92" spans="1:10">
      <c r="A92" s="326" t="s">
        <v>180</v>
      </c>
      <c r="B92" s="327">
        <v>286</v>
      </c>
      <c r="C92" s="328">
        <v>1.3715223531802485</v>
      </c>
      <c r="D92" s="329">
        <v>2.3371486129172156E-2</v>
      </c>
      <c r="E92" s="329">
        <v>0.11419459206242141</v>
      </c>
      <c r="F92" s="328">
        <v>1.3437041977000364</v>
      </c>
      <c r="G92" s="329">
        <v>3.809668547206229E-2</v>
      </c>
      <c r="H92" s="328">
        <v>1.3969223074768908</v>
      </c>
      <c r="I92" s="330">
        <v>0.46694109572308445</v>
      </c>
      <c r="J92" s="329">
        <v>0.63038219663868322</v>
      </c>
    </row>
    <row r="93" spans="1:10">
      <c r="A93" s="326" t="s">
        <v>181</v>
      </c>
      <c r="B93" s="327">
        <v>514</v>
      </c>
      <c r="C93" s="328">
        <v>1.2688113402061854</v>
      </c>
      <c r="D93" s="329">
        <v>1.061729546422538</v>
      </c>
      <c r="E93" s="329">
        <v>0.11251415912372718</v>
      </c>
      <c r="F93" s="328">
        <v>0.65326210046272359</v>
      </c>
      <c r="G93" s="329">
        <v>9.1101227766809414E-2</v>
      </c>
      <c r="H93" s="328">
        <v>0.71874021664441212</v>
      </c>
      <c r="I93" s="330">
        <v>0.3928994505489819</v>
      </c>
      <c r="J93" s="329">
        <v>0.48709663480336818</v>
      </c>
    </row>
    <row r="94" spans="1:10">
      <c r="A94" s="326" t="s">
        <v>182</v>
      </c>
      <c r="B94" s="327">
        <v>62</v>
      </c>
      <c r="C94" s="328">
        <v>1.0480349439171701</v>
      </c>
      <c r="D94" s="329">
        <v>0.35422447185319067</v>
      </c>
      <c r="E94" s="329">
        <v>0.16717812350817918</v>
      </c>
      <c r="F94" s="328">
        <v>0.80928971253153703</v>
      </c>
      <c r="G94" s="329">
        <v>6.2658588478144567E-2</v>
      </c>
      <c r="H94" s="328">
        <v>0.8633884117181857</v>
      </c>
      <c r="I94" s="330">
        <v>0.29842561309289412</v>
      </c>
      <c r="J94" s="329">
        <v>0.37526678277487174</v>
      </c>
    </row>
    <row r="95" spans="1:10">
      <c r="A95" s="326" t="s">
        <v>183</v>
      </c>
      <c r="B95" s="327">
        <v>260</v>
      </c>
      <c r="C95" s="328">
        <v>1.3345474333983105</v>
      </c>
      <c r="D95" s="329">
        <v>0.10188550215035294</v>
      </c>
      <c r="E95" s="329">
        <v>0.10867539331696265</v>
      </c>
      <c r="F95" s="328">
        <v>1.2234428503775123</v>
      </c>
      <c r="G95" s="329">
        <v>7.4466598446780885E-2</v>
      </c>
      <c r="H95" s="328">
        <v>1.3218786575658374</v>
      </c>
      <c r="I95" s="330">
        <v>0.43133913488991538</v>
      </c>
      <c r="J95" s="329">
        <v>0.53483090578912917</v>
      </c>
    </row>
    <row r="96" spans="1:10">
      <c r="A96" s="326" t="s">
        <v>184</v>
      </c>
      <c r="B96" s="327">
        <v>114</v>
      </c>
      <c r="C96" s="328">
        <v>0.87522431077694229</v>
      </c>
      <c r="D96" s="329">
        <v>0.36525312131015658</v>
      </c>
      <c r="E96" s="329">
        <v>0.14725037125057258</v>
      </c>
      <c r="F96" s="328">
        <v>0.66736156278970649</v>
      </c>
      <c r="G96" s="329">
        <v>6.4237596508585404E-2</v>
      </c>
      <c r="H96" s="328">
        <v>0.71317415649498184</v>
      </c>
      <c r="I96" s="330">
        <v>0.33175907091114476</v>
      </c>
      <c r="J96" s="329">
        <v>0.41096810949634721</v>
      </c>
    </row>
    <row r="97" spans="1:10">
      <c r="A97" s="326" t="s">
        <v>185</v>
      </c>
      <c r="B97" s="327">
        <v>34</v>
      </c>
      <c r="C97" s="328">
        <v>0.44857894736842108</v>
      </c>
      <c r="D97" s="329">
        <v>2.9242943741087882E-2</v>
      </c>
      <c r="E97" s="329">
        <v>0.17970539080867631</v>
      </c>
      <c r="F97" s="328">
        <v>0.43807058503743312</v>
      </c>
      <c r="G97" s="329">
        <v>1.6311790729505986E-2</v>
      </c>
      <c r="H97" s="328">
        <v>0.44533479298517514</v>
      </c>
      <c r="I97" s="330">
        <v>0.26173051824884019</v>
      </c>
      <c r="J97" s="329">
        <v>0.38829925869517523</v>
      </c>
    </row>
    <row r="98" spans="1:10">
      <c r="A98" s="326" t="s">
        <v>186</v>
      </c>
      <c r="B98" s="327">
        <v>140</v>
      </c>
      <c r="C98" s="328">
        <v>1.1667172064777327</v>
      </c>
      <c r="D98" s="329">
        <v>0.62875552583921879</v>
      </c>
      <c r="E98" s="329">
        <v>0.18380340164237097</v>
      </c>
      <c r="F98" s="328">
        <v>0.77103249092857606</v>
      </c>
      <c r="G98" s="329">
        <v>9.1951181867580459E-2</v>
      </c>
      <c r="H98" s="328">
        <v>0.84910907379886857</v>
      </c>
      <c r="I98" s="330">
        <v>0.35813116108019227</v>
      </c>
      <c r="J98" s="329">
        <v>0.47342407548906834</v>
      </c>
    </row>
    <row r="99" spans="1:10">
      <c r="A99" s="326" t="s">
        <v>187</v>
      </c>
      <c r="B99" s="327">
        <v>12</v>
      </c>
      <c r="C99" s="328">
        <v>1.4512751196172251</v>
      </c>
      <c r="D99" s="329">
        <v>0.15441007520850064</v>
      </c>
      <c r="E99" s="329">
        <v>0.24461411478904324</v>
      </c>
      <c r="F99" s="328">
        <v>1.2996813392038762</v>
      </c>
      <c r="G99" s="329">
        <v>4.8105583715751146E-2</v>
      </c>
      <c r="H99" s="328">
        <v>1.3653629194267416</v>
      </c>
      <c r="I99" s="330">
        <v>0.32814490495933235</v>
      </c>
      <c r="J99" s="329">
        <v>0.3859982290512789</v>
      </c>
    </row>
    <row r="100" spans="1:10">
      <c r="A100" s="326" t="s">
        <v>188</v>
      </c>
      <c r="B100" s="327">
        <v>93</v>
      </c>
      <c r="C100" s="328">
        <v>1.000826379974326</v>
      </c>
      <c r="D100" s="329">
        <v>0.37953492865300814</v>
      </c>
      <c r="E100" s="329">
        <v>0.17228362564659322</v>
      </c>
      <c r="F100" s="328">
        <v>0.76157855283722287</v>
      </c>
      <c r="G100" s="329">
        <v>7.8152634799196402E-2</v>
      </c>
      <c r="H100" s="328">
        <v>0.82614387325534122</v>
      </c>
      <c r="I100" s="330">
        <v>0.35085771014212258</v>
      </c>
      <c r="J100" s="329">
        <v>0.43820782103872263</v>
      </c>
    </row>
    <row r="101" spans="1:10">
      <c r="A101" s="326" t="s">
        <v>189</v>
      </c>
      <c r="B101" s="327">
        <v>25</v>
      </c>
      <c r="C101" s="328">
        <v>0.92335380116959065</v>
      </c>
      <c r="D101" s="329">
        <v>9.0037119535481713E-2</v>
      </c>
      <c r="E101" s="329">
        <v>2.023529411764706E-2</v>
      </c>
      <c r="F101" s="328">
        <v>0.84850295052704239</v>
      </c>
      <c r="G101" s="329">
        <v>3.6584314889850832E-2</v>
      </c>
      <c r="H101" s="328">
        <v>0.88072362080136923</v>
      </c>
      <c r="I101" s="330">
        <v>0.22104395716385153</v>
      </c>
      <c r="J101" s="329">
        <v>0.28489273465664955</v>
      </c>
    </row>
    <row r="102" spans="1:10">
      <c r="A102" s="326" t="s">
        <v>190</v>
      </c>
      <c r="B102" s="327">
        <v>12</v>
      </c>
      <c r="C102" s="328">
        <v>0.83272807017543871</v>
      </c>
      <c r="D102" s="329">
        <v>2.2612947906752274</v>
      </c>
      <c r="E102" s="329">
        <v>0.12473273581163853</v>
      </c>
      <c r="F102" s="328">
        <v>0.27951048705979537</v>
      </c>
      <c r="G102" s="329">
        <v>8.6625840290583678E-2</v>
      </c>
      <c r="H102" s="328">
        <v>0.30601970078584195</v>
      </c>
      <c r="I102" s="330">
        <v>0.33621287284144491</v>
      </c>
      <c r="J102" s="329">
        <v>0.36500011654159342</v>
      </c>
    </row>
    <row r="103" spans="1:10">
      <c r="A103" s="326" t="s">
        <v>191</v>
      </c>
      <c r="B103" s="327">
        <v>59</v>
      </c>
      <c r="C103" s="328">
        <v>1.1758075048732937</v>
      </c>
      <c r="D103" s="329">
        <v>0.35131171892280677</v>
      </c>
      <c r="E103" s="329">
        <v>0.18103758773622622</v>
      </c>
      <c r="F103" s="328">
        <v>0.91309883984132412</v>
      </c>
      <c r="G103" s="329">
        <v>7.3344262430203436E-2</v>
      </c>
      <c r="H103" s="328">
        <v>0.98537008170474816</v>
      </c>
      <c r="I103" s="330">
        <v>0.36678279943378284</v>
      </c>
      <c r="J103" s="329">
        <v>0.45731529916628416</v>
      </c>
    </row>
    <row r="104" spans="1:10" s="324" customFormat="1">
      <c r="A104" s="331" t="s">
        <v>1413</v>
      </c>
      <c r="B104" s="332">
        <v>19896</v>
      </c>
      <c r="C104" s="333">
        <v>1.1286806416490003</v>
      </c>
      <c r="D104" s="334">
        <v>0.55390649481194099</v>
      </c>
      <c r="E104" s="334">
        <v>0.1442952577335215</v>
      </c>
      <c r="F104" s="333">
        <v>0.76573652582868801</v>
      </c>
      <c r="G104" s="334">
        <v>0.12960314122601163</v>
      </c>
      <c r="H104" s="333">
        <v>0.87975561734825036</v>
      </c>
      <c r="I104" s="335">
        <v>0.37336047687790058</v>
      </c>
      <c r="J104" s="334">
        <v>0.47044076106277571</v>
      </c>
    </row>
  </sheetData>
  <mergeCells count="8">
    <mergeCell ref="B6:G6"/>
    <mergeCell ref="B7:G7"/>
    <mergeCell ref="B1:G1"/>
    <mergeCell ref="B2:G2"/>
    <mergeCell ref="B3:E3"/>
    <mergeCell ref="F3:G3"/>
    <mergeCell ref="B4:G4"/>
    <mergeCell ref="B5:G5"/>
  </mergeCells>
  <hyperlinks>
    <hyperlink ref="B2" r:id="rId1"/>
    <hyperlink ref="B4" r:id="rId2"/>
    <hyperlink ref="B5" r:id="rId3"/>
    <hyperlink ref="B6" r:id="rId4"/>
    <hyperlink ref="B7" r:id="rId5"/>
  </hyperlinks>
  <pageMargins left="0.75" right="0.75" top="1" bottom="1" header="0.5" footer="0.5"/>
  <pageSetup scale="60" orientation="landscape" horizontalDpi="4294967292" verticalDpi="4294967292"/>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6" tint="-0.249977111117893"/>
  </sheetPr>
  <dimension ref="B1:L117"/>
  <sheetViews>
    <sheetView showGridLines="0" zoomScale="90" zoomScaleNormal="90" workbookViewId="0">
      <selection activeCell="H115" sqref="H115"/>
    </sheetView>
  </sheetViews>
  <sheetFormatPr baseColWidth="10" defaultColWidth="10.7109375" defaultRowHeight="12.75" outlineLevelRow="1"/>
  <cols>
    <col min="1" max="1" width="5.7109375" style="336" customWidth="1"/>
    <col min="2" max="2" width="15.7109375" style="336" bestFit="1" customWidth="1"/>
    <col min="3" max="3" width="8.5703125" style="336" customWidth="1"/>
    <col min="4" max="4" width="12.42578125" style="336" customWidth="1"/>
    <col min="5" max="5" width="13.7109375" style="336" customWidth="1"/>
    <col min="6" max="6" width="15.140625" style="336" bestFit="1" customWidth="1"/>
    <col min="7" max="7" width="12.5703125" style="336" bestFit="1" customWidth="1"/>
    <col min="8" max="8" width="13" style="336" bestFit="1" customWidth="1"/>
    <col min="9" max="9" width="11.140625" style="336" customWidth="1"/>
    <col min="10" max="10" width="12.42578125" style="336" customWidth="1"/>
    <col min="11" max="11" width="18.5703125" style="336" customWidth="1"/>
    <col min="12" max="257" width="10.7109375" style="336"/>
    <col min="258" max="258" width="15.5703125" style="336" bestFit="1" customWidth="1"/>
    <col min="259" max="259" width="8.5703125" style="336" customWidth="1"/>
    <col min="260" max="260" width="12.42578125" style="336" customWidth="1"/>
    <col min="261" max="261" width="13.7109375" style="336" customWidth="1"/>
    <col min="262" max="262" width="10.7109375" style="336"/>
    <col min="263" max="263" width="12.140625" style="336" bestFit="1" customWidth="1"/>
    <col min="264" max="264" width="12.85546875" style="336" bestFit="1" customWidth="1"/>
    <col min="265" max="265" width="11.140625" style="336" customWidth="1"/>
    <col min="266" max="266" width="12.42578125" style="336" customWidth="1"/>
    <col min="267" max="267" width="18.5703125" style="336" customWidth="1"/>
    <col min="268" max="513" width="10.7109375" style="336"/>
    <col min="514" max="514" width="15.5703125" style="336" bestFit="1" customWidth="1"/>
    <col min="515" max="515" width="8.5703125" style="336" customWidth="1"/>
    <col min="516" max="516" width="12.42578125" style="336" customWidth="1"/>
    <col min="517" max="517" width="13.7109375" style="336" customWidth="1"/>
    <col min="518" max="518" width="10.7109375" style="336"/>
    <col min="519" max="519" width="12.140625" style="336" bestFit="1" customWidth="1"/>
    <col min="520" max="520" width="12.85546875" style="336" bestFit="1" customWidth="1"/>
    <col min="521" max="521" width="11.140625" style="336" customWidth="1"/>
    <col min="522" max="522" width="12.42578125" style="336" customWidth="1"/>
    <col min="523" max="523" width="18.5703125" style="336" customWidth="1"/>
    <col min="524" max="769" width="10.7109375" style="336"/>
    <col min="770" max="770" width="15.5703125" style="336" bestFit="1" customWidth="1"/>
    <col min="771" max="771" width="8.5703125" style="336" customWidth="1"/>
    <col min="772" max="772" width="12.42578125" style="336" customWidth="1"/>
    <col min="773" max="773" width="13.7109375" style="336" customWidth="1"/>
    <col min="774" max="774" width="10.7109375" style="336"/>
    <col min="775" max="775" width="12.140625" style="336" bestFit="1" customWidth="1"/>
    <col min="776" max="776" width="12.85546875" style="336" bestFit="1" customWidth="1"/>
    <col min="777" max="777" width="11.140625" style="336" customWidth="1"/>
    <col min="778" max="778" width="12.42578125" style="336" customWidth="1"/>
    <col min="779" max="779" width="18.5703125" style="336" customWidth="1"/>
    <col min="780" max="1025" width="10.7109375" style="336"/>
    <col min="1026" max="1026" width="15.5703125" style="336" bestFit="1" customWidth="1"/>
    <col min="1027" max="1027" width="8.5703125" style="336" customWidth="1"/>
    <col min="1028" max="1028" width="12.42578125" style="336" customWidth="1"/>
    <col min="1029" max="1029" width="13.7109375" style="336" customWidth="1"/>
    <col min="1030" max="1030" width="10.7109375" style="336"/>
    <col min="1031" max="1031" width="12.140625" style="336" bestFit="1" customWidth="1"/>
    <col min="1032" max="1032" width="12.85546875" style="336" bestFit="1" customWidth="1"/>
    <col min="1033" max="1033" width="11.140625" style="336" customWidth="1"/>
    <col min="1034" max="1034" width="12.42578125" style="336" customWidth="1"/>
    <col min="1035" max="1035" width="18.5703125" style="336" customWidth="1"/>
    <col min="1036" max="1281" width="10.7109375" style="336"/>
    <col min="1282" max="1282" width="15.5703125" style="336" bestFit="1" customWidth="1"/>
    <col min="1283" max="1283" width="8.5703125" style="336" customWidth="1"/>
    <col min="1284" max="1284" width="12.42578125" style="336" customWidth="1"/>
    <col min="1285" max="1285" width="13.7109375" style="336" customWidth="1"/>
    <col min="1286" max="1286" width="10.7109375" style="336"/>
    <col min="1287" max="1287" width="12.140625" style="336" bestFit="1" customWidth="1"/>
    <col min="1288" max="1288" width="12.85546875" style="336" bestFit="1" customWidth="1"/>
    <col min="1289" max="1289" width="11.140625" style="336" customWidth="1"/>
    <col min="1290" max="1290" width="12.42578125" style="336" customWidth="1"/>
    <col min="1291" max="1291" width="18.5703125" style="336" customWidth="1"/>
    <col min="1292" max="1537" width="10.7109375" style="336"/>
    <col min="1538" max="1538" width="15.5703125" style="336" bestFit="1" customWidth="1"/>
    <col min="1539" max="1539" width="8.5703125" style="336" customWidth="1"/>
    <col min="1540" max="1540" width="12.42578125" style="336" customWidth="1"/>
    <col min="1541" max="1541" width="13.7109375" style="336" customWidth="1"/>
    <col min="1542" max="1542" width="10.7109375" style="336"/>
    <col min="1543" max="1543" width="12.140625" style="336" bestFit="1" customWidth="1"/>
    <col min="1544" max="1544" width="12.85546875" style="336" bestFit="1" customWidth="1"/>
    <col min="1545" max="1545" width="11.140625" style="336" customWidth="1"/>
    <col min="1546" max="1546" width="12.42578125" style="336" customWidth="1"/>
    <col min="1547" max="1547" width="18.5703125" style="336" customWidth="1"/>
    <col min="1548" max="1793" width="10.7109375" style="336"/>
    <col min="1794" max="1794" width="15.5703125" style="336" bestFit="1" customWidth="1"/>
    <col min="1795" max="1795" width="8.5703125" style="336" customWidth="1"/>
    <col min="1796" max="1796" width="12.42578125" style="336" customWidth="1"/>
    <col min="1797" max="1797" width="13.7109375" style="336" customWidth="1"/>
    <col min="1798" max="1798" width="10.7109375" style="336"/>
    <col min="1799" max="1799" width="12.140625" style="336" bestFit="1" customWidth="1"/>
    <col min="1800" max="1800" width="12.85546875" style="336" bestFit="1" customWidth="1"/>
    <col min="1801" max="1801" width="11.140625" style="336" customWidth="1"/>
    <col min="1802" max="1802" width="12.42578125" style="336" customWidth="1"/>
    <col min="1803" max="1803" width="18.5703125" style="336" customWidth="1"/>
    <col min="1804" max="2049" width="10.7109375" style="336"/>
    <col min="2050" max="2050" width="15.5703125" style="336" bestFit="1" customWidth="1"/>
    <col min="2051" max="2051" width="8.5703125" style="336" customWidth="1"/>
    <col min="2052" max="2052" width="12.42578125" style="336" customWidth="1"/>
    <col min="2053" max="2053" width="13.7109375" style="336" customWidth="1"/>
    <col min="2054" max="2054" width="10.7109375" style="336"/>
    <col min="2055" max="2055" width="12.140625" style="336" bestFit="1" customWidth="1"/>
    <col min="2056" max="2056" width="12.85546875" style="336" bestFit="1" customWidth="1"/>
    <col min="2057" max="2057" width="11.140625" style="336" customWidth="1"/>
    <col min="2058" max="2058" width="12.42578125" style="336" customWidth="1"/>
    <col min="2059" max="2059" width="18.5703125" style="336" customWidth="1"/>
    <col min="2060" max="2305" width="10.7109375" style="336"/>
    <col min="2306" max="2306" width="15.5703125" style="336" bestFit="1" customWidth="1"/>
    <col min="2307" max="2307" width="8.5703125" style="336" customWidth="1"/>
    <col min="2308" max="2308" width="12.42578125" style="336" customWidth="1"/>
    <col min="2309" max="2309" width="13.7109375" style="336" customWidth="1"/>
    <col min="2310" max="2310" width="10.7109375" style="336"/>
    <col min="2311" max="2311" width="12.140625" style="336" bestFit="1" customWidth="1"/>
    <col min="2312" max="2312" width="12.85546875" style="336" bestFit="1" customWidth="1"/>
    <col min="2313" max="2313" width="11.140625" style="336" customWidth="1"/>
    <col min="2314" max="2314" width="12.42578125" style="336" customWidth="1"/>
    <col min="2315" max="2315" width="18.5703125" style="336" customWidth="1"/>
    <col min="2316" max="2561" width="10.7109375" style="336"/>
    <col min="2562" max="2562" width="15.5703125" style="336" bestFit="1" customWidth="1"/>
    <col min="2563" max="2563" width="8.5703125" style="336" customWidth="1"/>
    <col min="2564" max="2564" width="12.42578125" style="336" customWidth="1"/>
    <col min="2565" max="2565" width="13.7109375" style="336" customWidth="1"/>
    <col min="2566" max="2566" width="10.7109375" style="336"/>
    <col min="2567" max="2567" width="12.140625" style="336" bestFit="1" customWidth="1"/>
    <col min="2568" max="2568" width="12.85546875" style="336" bestFit="1" customWidth="1"/>
    <col min="2569" max="2569" width="11.140625" style="336" customWidth="1"/>
    <col min="2570" max="2570" width="12.42578125" style="336" customWidth="1"/>
    <col min="2571" max="2571" width="18.5703125" style="336" customWidth="1"/>
    <col min="2572" max="2817" width="10.7109375" style="336"/>
    <col min="2818" max="2818" width="15.5703125" style="336" bestFit="1" customWidth="1"/>
    <col min="2819" max="2819" width="8.5703125" style="336" customWidth="1"/>
    <col min="2820" max="2820" width="12.42578125" style="336" customWidth="1"/>
    <col min="2821" max="2821" width="13.7109375" style="336" customWidth="1"/>
    <col min="2822" max="2822" width="10.7109375" style="336"/>
    <col min="2823" max="2823" width="12.140625" style="336" bestFit="1" customWidth="1"/>
    <col min="2824" max="2824" width="12.85546875" style="336" bestFit="1" customWidth="1"/>
    <col min="2825" max="2825" width="11.140625" style="336" customWidth="1"/>
    <col min="2826" max="2826" width="12.42578125" style="336" customWidth="1"/>
    <col min="2827" max="2827" width="18.5703125" style="336" customWidth="1"/>
    <col min="2828" max="3073" width="10.7109375" style="336"/>
    <col min="3074" max="3074" width="15.5703125" style="336" bestFit="1" customWidth="1"/>
    <col min="3075" max="3075" width="8.5703125" style="336" customWidth="1"/>
    <col min="3076" max="3076" width="12.42578125" style="336" customWidth="1"/>
    <col min="3077" max="3077" width="13.7109375" style="336" customWidth="1"/>
    <col min="3078" max="3078" width="10.7109375" style="336"/>
    <col min="3079" max="3079" width="12.140625" style="336" bestFit="1" customWidth="1"/>
    <col min="3080" max="3080" width="12.85546875" style="336" bestFit="1" customWidth="1"/>
    <col min="3081" max="3081" width="11.140625" style="336" customWidth="1"/>
    <col min="3082" max="3082" width="12.42578125" style="336" customWidth="1"/>
    <col min="3083" max="3083" width="18.5703125" style="336" customWidth="1"/>
    <col min="3084" max="3329" width="10.7109375" style="336"/>
    <col min="3330" max="3330" width="15.5703125" style="336" bestFit="1" customWidth="1"/>
    <col min="3331" max="3331" width="8.5703125" style="336" customWidth="1"/>
    <col min="3332" max="3332" width="12.42578125" style="336" customWidth="1"/>
    <col min="3333" max="3333" width="13.7109375" style="336" customWidth="1"/>
    <col min="3334" max="3334" width="10.7109375" style="336"/>
    <col min="3335" max="3335" width="12.140625" style="336" bestFit="1" customWidth="1"/>
    <col min="3336" max="3336" width="12.85546875" style="336" bestFit="1" customWidth="1"/>
    <col min="3337" max="3337" width="11.140625" style="336" customWidth="1"/>
    <col min="3338" max="3338" width="12.42578125" style="336" customWidth="1"/>
    <col min="3339" max="3339" width="18.5703125" style="336" customWidth="1"/>
    <col min="3340" max="3585" width="10.7109375" style="336"/>
    <col min="3586" max="3586" width="15.5703125" style="336" bestFit="1" customWidth="1"/>
    <col min="3587" max="3587" width="8.5703125" style="336" customWidth="1"/>
    <col min="3588" max="3588" width="12.42578125" style="336" customWidth="1"/>
    <col min="3589" max="3589" width="13.7109375" style="336" customWidth="1"/>
    <col min="3590" max="3590" width="10.7109375" style="336"/>
    <col min="3591" max="3591" width="12.140625" style="336" bestFit="1" customWidth="1"/>
    <col min="3592" max="3592" width="12.85546875" style="336" bestFit="1" customWidth="1"/>
    <col min="3593" max="3593" width="11.140625" style="336" customWidth="1"/>
    <col min="3594" max="3594" width="12.42578125" style="336" customWidth="1"/>
    <col min="3595" max="3595" width="18.5703125" style="336" customWidth="1"/>
    <col min="3596" max="3841" width="10.7109375" style="336"/>
    <col min="3842" max="3842" width="15.5703125" style="336" bestFit="1" customWidth="1"/>
    <col min="3843" max="3843" width="8.5703125" style="336" customWidth="1"/>
    <col min="3844" max="3844" width="12.42578125" style="336" customWidth="1"/>
    <col min="3845" max="3845" width="13.7109375" style="336" customWidth="1"/>
    <col min="3846" max="3846" width="10.7109375" style="336"/>
    <col min="3847" max="3847" width="12.140625" style="336" bestFit="1" customWidth="1"/>
    <col min="3848" max="3848" width="12.85546875" style="336" bestFit="1" customWidth="1"/>
    <col min="3849" max="3849" width="11.140625" style="336" customWidth="1"/>
    <col min="3850" max="3850" width="12.42578125" style="336" customWidth="1"/>
    <col min="3851" max="3851" width="18.5703125" style="336" customWidth="1"/>
    <col min="3852" max="4097" width="10.7109375" style="336"/>
    <col min="4098" max="4098" width="15.5703125" style="336" bestFit="1" customWidth="1"/>
    <col min="4099" max="4099" width="8.5703125" style="336" customWidth="1"/>
    <col min="4100" max="4100" width="12.42578125" style="336" customWidth="1"/>
    <col min="4101" max="4101" width="13.7109375" style="336" customWidth="1"/>
    <col min="4102" max="4102" width="10.7109375" style="336"/>
    <col min="4103" max="4103" width="12.140625" style="336" bestFit="1" customWidth="1"/>
    <col min="4104" max="4104" width="12.85546875" style="336" bestFit="1" customWidth="1"/>
    <col min="4105" max="4105" width="11.140625" style="336" customWidth="1"/>
    <col min="4106" max="4106" width="12.42578125" style="336" customWidth="1"/>
    <col min="4107" max="4107" width="18.5703125" style="336" customWidth="1"/>
    <col min="4108" max="4353" width="10.7109375" style="336"/>
    <col min="4354" max="4354" width="15.5703125" style="336" bestFit="1" customWidth="1"/>
    <col min="4355" max="4355" width="8.5703125" style="336" customWidth="1"/>
    <col min="4356" max="4356" width="12.42578125" style="336" customWidth="1"/>
    <col min="4357" max="4357" width="13.7109375" style="336" customWidth="1"/>
    <col min="4358" max="4358" width="10.7109375" style="336"/>
    <col min="4359" max="4359" width="12.140625" style="336" bestFit="1" customWidth="1"/>
    <col min="4360" max="4360" width="12.85546875" style="336" bestFit="1" customWidth="1"/>
    <col min="4361" max="4361" width="11.140625" style="336" customWidth="1"/>
    <col min="4362" max="4362" width="12.42578125" style="336" customWidth="1"/>
    <col min="4363" max="4363" width="18.5703125" style="336" customWidth="1"/>
    <col min="4364" max="4609" width="10.7109375" style="336"/>
    <col min="4610" max="4610" width="15.5703125" style="336" bestFit="1" customWidth="1"/>
    <col min="4611" max="4611" width="8.5703125" style="336" customWidth="1"/>
    <col min="4612" max="4612" width="12.42578125" style="336" customWidth="1"/>
    <col min="4613" max="4613" width="13.7109375" style="336" customWidth="1"/>
    <col min="4614" max="4614" width="10.7109375" style="336"/>
    <col min="4615" max="4615" width="12.140625" style="336" bestFit="1" customWidth="1"/>
    <col min="4616" max="4616" width="12.85546875" style="336" bestFit="1" customWidth="1"/>
    <col min="4617" max="4617" width="11.140625" style="336" customWidth="1"/>
    <col min="4618" max="4618" width="12.42578125" style="336" customWidth="1"/>
    <col min="4619" max="4619" width="18.5703125" style="336" customWidth="1"/>
    <col min="4620" max="4865" width="10.7109375" style="336"/>
    <col min="4866" max="4866" width="15.5703125" style="336" bestFit="1" customWidth="1"/>
    <col min="4867" max="4867" width="8.5703125" style="336" customWidth="1"/>
    <col min="4868" max="4868" width="12.42578125" style="336" customWidth="1"/>
    <col min="4869" max="4869" width="13.7109375" style="336" customWidth="1"/>
    <col min="4870" max="4870" width="10.7109375" style="336"/>
    <col min="4871" max="4871" width="12.140625" style="336" bestFit="1" customWidth="1"/>
    <col min="4872" max="4872" width="12.85546875" style="336" bestFit="1" customWidth="1"/>
    <col min="4873" max="4873" width="11.140625" style="336" customWidth="1"/>
    <col min="4874" max="4874" width="12.42578125" style="336" customWidth="1"/>
    <col min="4875" max="4875" width="18.5703125" style="336" customWidth="1"/>
    <col min="4876" max="5121" width="10.7109375" style="336"/>
    <col min="5122" max="5122" width="15.5703125" style="336" bestFit="1" customWidth="1"/>
    <col min="5123" max="5123" width="8.5703125" style="336" customWidth="1"/>
    <col min="5124" max="5124" width="12.42578125" style="336" customWidth="1"/>
    <col min="5125" max="5125" width="13.7109375" style="336" customWidth="1"/>
    <col min="5126" max="5126" width="10.7109375" style="336"/>
    <col min="5127" max="5127" width="12.140625" style="336" bestFit="1" customWidth="1"/>
    <col min="5128" max="5128" width="12.85546875" style="336" bestFit="1" customWidth="1"/>
    <col min="5129" max="5129" width="11.140625" style="336" customWidth="1"/>
    <col min="5130" max="5130" width="12.42578125" style="336" customWidth="1"/>
    <col min="5131" max="5131" width="18.5703125" style="336" customWidth="1"/>
    <col min="5132" max="5377" width="10.7109375" style="336"/>
    <col min="5378" max="5378" width="15.5703125" style="336" bestFit="1" customWidth="1"/>
    <col min="5379" max="5379" width="8.5703125" style="336" customWidth="1"/>
    <col min="5380" max="5380" width="12.42578125" style="336" customWidth="1"/>
    <col min="5381" max="5381" width="13.7109375" style="336" customWidth="1"/>
    <col min="5382" max="5382" width="10.7109375" style="336"/>
    <col min="5383" max="5383" width="12.140625" style="336" bestFit="1" customWidth="1"/>
    <col min="5384" max="5384" width="12.85546875" style="336" bestFit="1" customWidth="1"/>
    <col min="5385" max="5385" width="11.140625" style="336" customWidth="1"/>
    <col min="5386" max="5386" width="12.42578125" style="336" customWidth="1"/>
    <col min="5387" max="5387" width="18.5703125" style="336" customWidth="1"/>
    <col min="5388" max="5633" width="10.7109375" style="336"/>
    <col min="5634" max="5634" width="15.5703125" style="336" bestFit="1" customWidth="1"/>
    <col min="5635" max="5635" width="8.5703125" style="336" customWidth="1"/>
    <col min="5636" max="5636" width="12.42578125" style="336" customWidth="1"/>
    <col min="5637" max="5637" width="13.7109375" style="336" customWidth="1"/>
    <col min="5638" max="5638" width="10.7109375" style="336"/>
    <col min="5639" max="5639" width="12.140625" style="336" bestFit="1" customWidth="1"/>
    <col min="5640" max="5640" width="12.85546875" style="336" bestFit="1" customWidth="1"/>
    <col min="5641" max="5641" width="11.140625" style="336" customWidth="1"/>
    <col min="5642" max="5642" width="12.42578125" style="336" customWidth="1"/>
    <col min="5643" max="5643" width="18.5703125" style="336" customWidth="1"/>
    <col min="5644" max="5889" width="10.7109375" style="336"/>
    <col min="5890" max="5890" width="15.5703125" style="336" bestFit="1" customWidth="1"/>
    <col min="5891" max="5891" width="8.5703125" style="336" customWidth="1"/>
    <col min="5892" max="5892" width="12.42578125" style="336" customWidth="1"/>
    <col min="5893" max="5893" width="13.7109375" style="336" customWidth="1"/>
    <col min="5894" max="5894" width="10.7109375" style="336"/>
    <col min="5895" max="5895" width="12.140625" style="336" bestFit="1" customWidth="1"/>
    <col min="5896" max="5896" width="12.85546875" style="336" bestFit="1" customWidth="1"/>
    <col min="5897" max="5897" width="11.140625" style="336" customWidth="1"/>
    <col min="5898" max="5898" width="12.42578125" style="336" customWidth="1"/>
    <col min="5899" max="5899" width="18.5703125" style="336" customWidth="1"/>
    <col min="5900" max="6145" width="10.7109375" style="336"/>
    <col min="6146" max="6146" width="15.5703125" style="336" bestFit="1" customWidth="1"/>
    <col min="6147" max="6147" width="8.5703125" style="336" customWidth="1"/>
    <col min="6148" max="6148" width="12.42578125" style="336" customWidth="1"/>
    <col min="6149" max="6149" width="13.7109375" style="336" customWidth="1"/>
    <col min="6150" max="6150" width="10.7109375" style="336"/>
    <col min="6151" max="6151" width="12.140625" style="336" bestFit="1" customWidth="1"/>
    <col min="6152" max="6152" width="12.85546875" style="336" bestFit="1" customWidth="1"/>
    <col min="6153" max="6153" width="11.140625" style="336" customWidth="1"/>
    <col min="6154" max="6154" width="12.42578125" style="336" customWidth="1"/>
    <col min="6155" max="6155" width="18.5703125" style="336" customWidth="1"/>
    <col min="6156" max="6401" width="10.7109375" style="336"/>
    <col min="6402" max="6402" width="15.5703125" style="336" bestFit="1" customWidth="1"/>
    <col min="6403" max="6403" width="8.5703125" style="336" customWidth="1"/>
    <col min="6404" max="6404" width="12.42578125" style="336" customWidth="1"/>
    <col min="6405" max="6405" width="13.7109375" style="336" customWidth="1"/>
    <col min="6406" max="6406" width="10.7109375" style="336"/>
    <col min="6407" max="6407" width="12.140625" style="336" bestFit="1" customWidth="1"/>
    <col min="6408" max="6408" width="12.85546875" style="336" bestFit="1" customWidth="1"/>
    <col min="6409" max="6409" width="11.140625" style="336" customWidth="1"/>
    <col min="6410" max="6410" width="12.42578125" style="336" customWidth="1"/>
    <col min="6411" max="6411" width="18.5703125" style="336" customWidth="1"/>
    <col min="6412" max="6657" width="10.7109375" style="336"/>
    <col min="6658" max="6658" width="15.5703125" style="336" bestFit="1" customWidth="1"/>
    <col min="6659" max="6659" width="8.5703125" style="336" customWidth="1"/>
    <col min="6660" max="6660" width="12.42578125" style="336" customWidth="1"/>
    <col min="6661" max="6661" width="13.7109375" style="336" customWidth="1"/>
    <col min="6662" max="6662" width="10.7109375" style="336"/>
    <col min="6663" max="6663" width="12.140625" style="336" bestFit="1" customWidth="1"/>
    <col min="6664" max="6664" width="12.85546875" style="336" bestFit="1" customWidth="1"/>
    <col min="6665" max="6665" width="11.140625" style="336" customWidth="1"/>
    <col min="6666" max="6666" width="12.42578125" style="336" customWidth="1"/>
    <col min="6667" max="6667" width="18.5703125" style="336" customWidth="1"/>
    <col min="6668" max="6913" width="10.7109375" style="336"/>
    <col min="6914" max="6914" width="15.5703125" style="336" bestFit="1" customWidth="1"/>
    <col min="6915" max="6915" width="8.5703125" style="336" customWidth="1"/>
    <col min="6916" max="6916" width="12.42578125" style="336" customWidth="1"/>
    <col min="6917" max="6917" width="13.7109375" style="336" customWidth="1"/>
    <col min="6918" max="6918" width="10.7109375" style="336"/>
    <col min="6919" max="6919" width="12.140625" style="336" bestFit="1" customWidth="1"/>
    <col min="6920" max="6920" width="12.85546875" style="336" bestFit="1" customWidth="1"/>
    <col min="6921" max="6921" width="11.140625" style="336" customWidth="1"/>
    <col min="6922" max="6922" width="12.42578125" style="336" customWidth="1"/>
    <col min="6923" max="6923" width="18.5703125" style="336" customWidth="1"/>
    <col min="6924" max="7169" width="10.7109375" style="336"/>
    <col min="7170" max="7170" width="15.5703125" style="336" bestFit="1" customWidth="1"/>
    <col min="7171" max="7171" width="8.5703125" style="336" customWidth="1"/>
    <col min="7172" max="7172" width="12.42578125" style="336" customWidth="1"/>
    <col min="7173" max="7173" width="13.7109375" style="336" customWidth="1"/>
    <col min="7174" max="7174" width="10.7109375" style="336"/>
    <col min="7175" max="7175" width="12.140625" style="336" bestFit="1" customWidth="1"/>
    <col min="7176" max="7176" width="12.85546875" style="336" bestFit="1" customWidth="1"/>
    <col min="7177" max="7177" width="11.140625" style="336" customWidth="1"/>
    <col min="7178" max="7178" width="12.42578125" style="336" customWidth="1"/>
    <col min="7179" max="7179" width="18.5703125" style="336" customWidth="1"/>
    <col min="7180" max="7425" width="10.7109375" style="336"/>
    <col min="7426" max="7426" width="15.5703125" style="336" bestFit="1" customWidth="1"/>
    <col min="7427" max="7427" width="8.5703125" style="336" customWidth="1"/>
    <col min="7428" max="7428" width="12.42578125" style="336" customWidth="1"/>
    <col min="7429" max="7429" width="13.7109375" style="336" customWidth="1"/>
    <col min="7430" max="7430" width="10.7109375" style="336"/>
    <col min="7431" max="7431" width="12.140625" style="336" bestFit="1" customWidth="1"/>
    <col min="7432" max="7432" width="12.85546875" style="336" bestFit="1" customWidth="1"/>
    <col min="7433" max="7433" width="11.140625" style="336" customWidth="1"/>
    <col min="7434" max="7434" width="12.42578125" style="336" customWidth="1"/>
    <col min="7435" max="7435" width="18.5703125" style="336" customWidth="1"/>
    <col min="7436" max="7681" width="10.7109375" style="336"/>
    <col min="7682" max="7682" width="15.5703125" style="336" bestFit="1" customWidth="1"/>
    <col min="7683" max="7683" width="8.5703125" style="336" customWidth="1"/>
    <col min="7684" max="7684" width="12.42578125" style="336" customWidth="1"/>
    <col min="7685" max="7685" width="13.7109375" style="336" customWidth="1"/>
    <col min="7686" max="7686" width="10.7109375" style="336"/>
    <col min="7687" max="7687" width="12.140625" style="336" bestFit="1" customWidth="1"/>
    <col min="7688" max="7688" width="12.85546875" style="336" bestFit="1" customWidth="1"/>
    <col min="7689" max="7689" width="11.140625" style="336" customWidth="1"/>
    <col min="7690" max="7690" width="12.42578125" style="336" customWidth="1"/>
    <col min="7691" max="7691" width="18.5703125" style="336" customWidth="1"/>
    <col min="7692" max="7937" width="10.7109375" style="336"/>
    <col min="7938" max="7938" width="15.5703125" style="336" bestFit="1" customWidth="1"/>
    <col min="7939" max="7939" width="8.5703125" style="336" customWidth="1"/>
    <col min="7940" max="7940" width="12.42578125" style="336" customWidth="1"/>
    <col min="7941" max="7941" width="13.7109375" style="336" customWidth="1"/>
    <col min="7942" max="7942" width="10.7109375" style="336"/>
    <col min="7943" max="7943" width="12.140625" style="336" bestFit="1" customWidth="1"/>
    <col min="7944" max="7944" width="12.85546875" style="336" bestFit="1" customWidth="1"/>
    <col min="7945" max="7945" width="11.140625" style="336" customWidth="1"/>
    <col min="7946" max="7946" width="12.42578125" style="336" customWidth="1"/>
    <col min="7947" max="7947" width="18.5703125" style="336" customWidth="1"/>
    <col min="7948" max="8193" width="10.7109375" style="336"/>
    <col min="8194" max="8194" width="15.5703125" style="336" bestFit="1" customWidth="1"/>
    <col min="8195" max="8195" width="8.5703125" style="336" customWidth="1"/>
    <col min="8196" max="8196" width="12.42578125" style="336" customWidth="1"/>
    <col min="8197" max="8197" width="13.7109375" style="336" customWidth="1"/>
    <col min="8198" max="8198" width="10.7109375" style="336"/>
    <col min="8199" max="8199" width="12.140625" style="336" bestFit="1" customWidth="1"/>
    <col min="8200" max="8200" width="12.85546875" style="336" bestFit="1" customWidth="1"/>
    <col min="8201" max="8201" width="11.140625" style="336" customWidth="1"/>
    <col min="8202" max="8202" width="12.42578125" style="336" customWidth="1"/>
    <col min="8203" max="8203" width="18.5703125" style="336" customWidth="1"/>
    <col min="8204" max="8449" width="10.7109375" style="336"/>
    <col min="8450" max="8450" width="15.5703125" style="336" bestFit="1" customWidth="1"/>
    <col min="8451" max="8451" width="8.5703125" style="336" customWidth="1"/>
    <col min="8452" max="8452" width="12.42578125" style="336" customWidth="1"/>
    <col min="8453" max="8453" width="13.7109375" style="336" customWidth="1"/>
    <col min="8454" max="8454" width="10.7109375" style="336"/>
    <col min="8455" max="8455" width="12.140625" style="336" bestFit="1" customWidth="1"/>
    <col min="8456" max="8456" width="12.85546875" style="336" bestFit="1" customWidth="1"/>
    <col min="8457" max="8457" width="11.140625" style="336" customWidth="1"/>
    <col min="8458" max="8458" width="12.42578125" style="336" customWidth="1"/>
    <col min="8459" max="8459" width="18.5703125" style="336" customWidth="1"/>
    <col min="8460" max="8705" width="10.7109375" style="336"/>
    <col min="8706" max="8706" width="15.5703125" style="336" bestFit="1" customWidth="1"/>
    <col min="8707" max="8707" width="8.5703125" style="336" customWidth="1"/>
    <col min="8708" max="8708" width="12.42578125" style="336" customWidth="1"/>
    <col min="8709" max="8709" width="13.7109375" style="336" customWidth="1"/>
    <col min="8710" max="8710" width="10.7109375" style="336"/>
    <col min="8711" max="8711" width="12.140625" style="336" bestFit="1" customWidth="1"/>
    <col min="8712" max="8712" width="12.85546875" style="336" bestFit="1" customWidth="1"/>
    <col min="8713" max="8713" width="11.140625" style="336" customWidth="1"/>
    <col min="8714" max="8714" width="12.42578125" style="336" customWidth="1"/>
    <col min="8715" max="8715" width="18.5703125" style="336" customWidth="1"/>
    <col min="8716" max="8961" width="10.7109375" style="336"/>
    <col min="8962" max="8962" width="15.5703125" style="336" bestFit="1" customWidth="1"/>
    <col min="8963" max="8963" width="8.5703125" style="336" customWidth="1"/>
    <col min="8964" max="8964" width="12.42578125" style="336" customWidth="1"/>
    <col min="8965" max="8965" width="13.7109375" style="336" customWidth="1"/>
    <col min="8966" max="8966" width="10.7109375" style="336"/>
    <col min="8967" max="8967" width="12.140625" style="336" bestFit="1" customWidth="1"/>
    <col min="8968" max="8968" width="12.85546875" style="336" bestFit="1" customWidth="1"/>
    <col min="8969" max="8969" width="11.140625" style="336" customWidth="1"/>
    <col min="8970" max="8970" width="12.42578125" style="336" customWidth="1"/>
    <col min="8971" max="8971" width="18.5703125" style="336" customWidth="1"/>
    <col min="8972" max="9217" width="10.7109375" style="336"/>
    <col min="9218" max="9218" width="15.5703125" style="336" bestFit="1" customWidth="1"/>
    <col min="9219" max="9219" width="8.5703125" style="336" customWidth="1"/>
    <col min="9220" max="9220" width="12.42578125" style="336" customWidth="1"/>
    <col min="9221" max="9221" width="13.7109375" style="336" customWidth="1"/>
    <col min="9222" max="9222" width="10.7109375" style="336"/>
    <col min="9223" max="9223" width="12.140625" style="336" bestFit="1" customWidth="1"/>
    <col min="9224" max="9224" width="12.85546875" style="336" bestFit="1" customWidth="1"/>
    <col min="9225" max="9225" width="11.140625" style="336" customWidth="1"/>
    <col min="9226" max="9226" width="12.42578125" style="336" customWidth="1"/>
    <col min="9227" max="9227" width="18.5703125" style="336" customWidth="1"/>
    <col min="9228" max="9473" width="10.7109375" style="336"/>
    <col min="9474" max="9474" width="15.5703125" style="336" bestFit="1" customWidth="1"/>
    <col min="9475" max="9475" width="8.5703125" style="336" customWidth="1"/>
    <col min="9476" max="9476" width="12.42578125" style="336" customWidth="1"/>
    <col min="9477" max="9477" width="13.7109375" style="336" customWidth="1"/>
    <col min="9478" max="9478" width="10.7109375" style="336"/>
    <col min="9479" max="9479" width="12.140625" style="336" bestFit="1" customWidth="1"/>
    <col min="9480" max="9480" width="12.85546875" style="336" bestFit="1" customWidth="1"/>
    <col min="9481" max="9481" width="11.140625" style="336" customWidth="1"/>
    <col min="9482" max="9482" width="12.42578125" style="336" customWidth="1"/>
    <col min="9483" max="9483" width="18.5703125" style="336" customWidth="1"/>
    <col min="9484" max="9729" width="10.7109375" style="336"/>
    <col min="9730" max="9730" width="15.5703125" style="336" bestFit="1" customWidth="1"/>
    <col min="9731" max="9731" width="8.5703125" style="336" customWidth="1"/>
    <col min="9732" max="9732" width="12.42578125" style="336" customWidth="1"/>
    <col min="9733" max="9733" width="13.7109375" style="336" customWidth="1"/>
    <col min="9734" max="9734" width="10.7109375" style="336"/>
    <col min="9735" max="9735" width="12.140625" style="336" bestFit="1" customWidth="1"/>
    <col min="9736" max="9736" width="12.85546875" style="336" bestFit="1" customWidth="1"/>
    <col min="9737" max="9737" width="11.140625" style="336" customWidth="1"/>
    <col min="9738" max="9738" width="12.42578125" style="336" customWidth="1"/>
    <col min="9739" max="9739" width="18.5703125" style="336" customWidth="1"/>
    <col min="9740" max="9985" width="10.7109375" style="336"/>
    <col min="9986" max="9986" width="15.5703125" style="336" bestFit="1" customWidth="1"/>
    <col min="9987" max="9987" width="8.5703125" style="336" customWidth="1"/>
    <col min="9988" max="9988" width="12.42578125" style="336" customWidth="1"/>
    <col min="9989" max="9989" width="13.7109375" style="336" customWidth="1"/>
    <col min="9990" max="9990" width="10.7109375" style="336"/>
    <col min="9991" max="9991" width="12.140625" style="336" bestFit="1" customWidth="1"/>
    <col min="9992" max="9992" width="12.85546875" style="336" bestFit="1" customWidth="1"/>
    <col min="9993" max="9993" width="11.140625" style="336" customWidth="1"/>
    <col min="9994" max="9994" width="12.42578125" style="336" customWidth="1"/>
    <col min="9995" max="9995" width="18.5703125" style="336" customWidth="1"/>
    <col min="9996" max="10241" width="10.7109375" style="336"/>
    <col min="10242" max="10242" width="15.5703125" style="336" bestFit="1" customWidth="1"/>
    <col min="10243" max="10243" width="8.5703125" style="336" customWidth="1"/>
    <col min="10244" max="10244" width="12.42578125" style="336" customWidth="1"/>
    <col min="10245" max="10245" width="13.7109375" style="336" customWidth="1"/>
    <col min="10246" max="10246" width="10.7109375" style="336"/>
    <col min="10247" max="10247" width="12.140625" style="336" bestFit="1" customWidth="1"/>
    <col min="10248" max="10248" width="12.85546875" style="336" bestFit="1" customWidth="1"/>
    <col min="10249" max="10249" width="11.140625" style="336" customWidth="1"/>
    <col min="10250" max="10250" width="12.42578125" style="336" customWidth="1"/>
    <col min="10251" max="10251" width="18.5703125" style="336" customWidth="1"/>
    <col min="10252" max="10497" width="10.7109375" style="336"/>
    <col min="10498" max="10498" width="15.5703125" style="336" bestFit="1" customWidth="1"/>
    <col min="10499" max="10499" width="8.5703125" style="336" customWidth="1"/>
    <col min="10500" max="10500" width="12.42578125" style="336" customWidth="1"/>
    <col min="10501" max="10501" width="13.7109375" style="336" customWidth="1"/>
    <col min="10502" max="10502" width="10.7109375" style="336"/>
    <col min="10503" max="10503" width="12.140625" style="336" bestFit="1" customWidth="1"/>
    <col min="10504" max="10504" width="12.85546875" style="336" bestFit="1" customWidth="1"/>
    <col min="10505" max="10505" width="11.140625" style="336" customWidth="1"/>
    <col min="10506" max="10506" width="12.42578125" style="336" customWidth="1"/>
    <col min="10507" max="10507" width="18.5703125" style="336" customWidth="1"/>
    <col min="10508" max="10753" width="10.7109375" style="336"/>
    <col min="10754" max="10754" width="15.5703125" style="336" bestFit="1" customWidth="1"/>
    <col min="10755" max="10755" width="8.5703125" style="336" customWidth="1"/>
    <col min="10756" max="10756" width="12.42578125" style="336" customWidth="1"/>
    <col min="10757" max="10757" width="13.7109375" style="336" customWidth="1"/>
    <col min="10758" max="10758" width="10.7109375" style="336"/>
    <col min="10759" max="10759" width="12.140625" style="336" bestFit="1" customWidth="1"/>
    <col min="10760" max="10760" width="12.85546875" style="336" bestFit="1" customWidth="1"/>
    <col min="10761" max="10761" width="11.140625" style="336" customWidth="1"/>
    <col min="10762" max="10762" width="12.42578125" style="336" customWidth="1"/>
    <col min="10763" max="10763" width="18.5703125" style="336" customWidth="1"/>
    <col min="10764" max="11009" width="10.7109375" style="336"/>
    <col min="11010" max="11010" width="15.5703125" style="336" bestFit="1" customWidth="1"/>
    <col min="11011" max="11011" width="8.5703125" style="336" customWidth="1"/>
    <col min="11012" max="11012" width="12.42578125" style="336" customWidth="1"/>
    <col min="11013" max="11013" width="13.7109375" style="336" customWidth="1"/>
    <col min="11014" max="11014" width="10.7109375" style="336"/>
    <col min="11015" max="11015" width="12.140625" style="336" bestFit="1" customWidth="1"/>
    <col min="11016" max="11016" width="12.85546875" style="336" bestFit="1" customWidth="1"/>
    <col min="11017" max="11017" width="11.140625" style="336" customWidth="1"/>
    <col min="11018" max="11018" width="12.42578125" style="336" customWidth="1"/>
    <col min="11019" max="11019" width="18.5703125" style="336" customWidth="1"/>
    <col min="11020" max="11265" width="10.7109375" style="336"/>
    <col min="11266" max="11266" width="15.5703125" style="336" bestFit="1" customWidth="1"/>
    <col min="11267" max="11267" width="8.5703125" style="336" customWidth="1"/>
    <col min="11268" max="11268" width="12.42578125" style="336" customWidth="1"/>
    <col min="11269" max="11269" width="13.7109375" style="336" customWidth="1"/>
    <col min="11270" max="11270" width="10.7109375" style="336"/>
    <col min="11271" max="11271" width="12.140625" style="336" bestFit="1" customWidth="1"/>
    <col min="11272" max="11272" width="12.85546875" style="336" bestFit="1" customWidth="1"/>
    <col min="11273" max="11273" width="11.140625" style="336" customWidth="1"/>
    <col min="11274" max="11274" width="12.42578125" style="336" customWidth="1"/>
    <col min="11275" max="11275" width="18.5703125" style="336" customWidth="1"/>
    <col min="11276" max="11521" width="10.7109375" style="336"/>
    <col min="11522" max="11522" width="15.5703125" style="336" bestFit="1" customWidth="1"/>
    <col min="11523" max="11523" width="8.5703125" style="336" customWidth="1"/>
    <col min="11524" max="11524" width="12.42578125" style="336" customWidth="1"/>
    <col min="11525" max="11525" width="13.7109375" style="336" customWidth="1"/>
    <col min="11526" max="11526" width="10.7109375" style="336"/>
    <col min="11527" max="11527" width="12.140625" style="336" bestFit="1" customWidth="1"/>
    <col min="11528" max="11528" width="12.85546875" style="336" bestFit="1" customWidth="1"/>
    <col min="11529" max="11529" width="11.140625" style="336" customWidth="1"/>
    <col min="11530" max="11530" width="12.42578125" style="336" customWidth="1"/>
    <col min="11531" max="11531" width="18.5703125" style="336" customWidth="1"/>
    <col min="11532" max="11777" width="10.7109375" style="336"/>
    <col min="11778" max="11778" width="15.5703125" style="336" bestFit="1" customWidth="1"/>
    <col min="11779" max="11779" width="8.5703125" style="336" customWidth="1"/>
    <col min="11780" max="11780" width="12.42578125" style="336" customWidth="1"/>
    <col min="11781" max="11781" width="13.7109375" style="336" customWidth="1"/>
    <col min="11782" max="11782" width="10.7109375" style="336"/>
    <col min="11783" max="11783" width="12.140625" style="336" bestFit="1" customWidth="1"/>
    <col min="11784" max="11784" width="12.85546875" style="336" bestFit="1" customWidth="1"/>
    <col min="11785" max="11785" width="11.140625" style="336" customWidth="1"/>
    <col min="11786" max="11786" width="12.42578125" style="336" customWidth="1"/>
    <col min="11787" max="11787" width="18.5703125" style="336" customWidth="1"/>
    <col min="11788" max="12033" width="10.7109375" style="336"/>
    <col min="12034" max="12034" width="15.5703125" style="336" bestFit="1" customWidth="1"/>
    <col min="12035" max="12035" width="8.5703125" style="336" customWidth="1"/>
    <col min="12036" max="12036" width="12.42578125" style="336" customWidth="1"/>
    <col min="12037" max="12037" width="13.7109375" style="336" customWidth="1"/>
    <col min="12038" max="12038" width="10.7109375" style="336"/>
    <col min="12039" max="12039" width="12.140625" style="336" bestFit="1" customWidth="1"/>
    <col min="12040" max="12040" width="12.85546875" style="336" bestFit="1" customWidth="1"/>
    <col min="12041" max="12041" width="11.140625" style="336" customWidth="1"/>
    <col min="12042" max="12042" width="12.42578125" style="336" customWidth="1"/>
    <col min="12043" max="12043" width="18.5703125" style="336" customWidth="1"/>
    <col min="12044" max="12289" width="10.7109375" style="336"/>
    <col min="12290" max="12290" width="15.5703125" style="336" bestFit="1" customWidth="1"/>
    <col min="12291" max="12291" width="8.5703125" style="336" customWidth="1"/>
    <col min="12292" max="12292" width="12.42578125" style="336" customWidth="1"/>
    <col min="12293" max="12293" width="13.7109375" style="336" customWidth="1"/>
    <col min="12294" max="12294" width="10.7109375" style="336"/>
    <col min="12295" max="12295" width="12.140625" style="336" bestFit="1" customWidth="1"/>
    <col min="12296" max="12296" width="12.85546875" style="336" bestFit="1" customWidth="1"/>
    <col min="12297" max="12297" width="11.140625" style="336" customWidth="1"/>
    <col min="12298" max="12298" width="12.42578125" style="336" customWidth="1"/>
    <col min="12299" max="12299" width="18.5703125" style="336" customWidth="1"/>
    <col min="12300" max="12545" width="10.7109375" style="336"/>
    <col min="12546" max="12546" width="15.5703125" style="336" bestFit="1" customWidth="1"/>
    <col min="12547" max="12547" width="8.5703125" style="336" customWidth="1"/>
    <col min="12548" max="12548" width="12.42578125" style="336" customWidth="1"/>
    <col min="12549" max="12549" width="13.7109375" style="336" customWidth="1"/>
    <col min="12550" max="12550" width="10.7109375" style="336"/>
    <col min="12551" max="12551" width="12.140625" style="336" bestFit="1" customWidth="1"/>
    <col min="12552" max="12552" width="12.85546875" style="336" bestFit="1" customWidth="1"/>
    <col min="12553" max="12553" width="11.140625" style="336" customWidth="1"/>
    <col min="12554" max="12554" width="12.42578125" style="336" customWidth="1"/>
    <col min="12555" max="12555" width="18.5703125" style="336" customWidth="1"/>
    <col min="12556" max="12801" width="10.7109375" style="336"/>
    <col min="12802" max="12802" width="15.5703125" style="336" bestFit="1" customWidth="1"/>
    <col min="12803" max="12803" width="8.5703125" style="336" customWidth="1"/>
    <col min="12804" max="12804" width="12.42578125" style="336" customWidth="1"/>
    <col min="12805" max="12805" width="13.7109375" style="336" customWidth="1"/>
    <col min="12806" max="12806" width="10.7109375" style="336"/>
    <col min="12807" max="12807" width="12.140625" style="336" bestFit="1" customWidth="1"/>
    <col min="12808" max="12808" width="12.85546875" style="336" bestFit="1" customWidth="1"/>
    <col min="12809" max="12809" width="11.140625" style="336" customWidth="1"/>
    <col min="12810" max="12810" width="12.42578125" style="336" customWidth="1"/>
    <col min="12811" max="12811" width="18.5703125" style="336" customWidth="1"/>
    <col min="12812" max="13057" width="10.7109375" style="336"/>
    <col min="13058" max="13058" width="15.5703125" style="336" bestFit="1" customWidth="1"/>
    <col min="13059" max="13059" width="8.5703125" style="336" customWidth="1"/>
    <col min="13060" max="13060" width="12.42578125" style="336" customWidth="1"/>
    <col min="13061" max="13061" width="13.7109375" style="336" customWidth="1"/>
    <col min="13062" max="13062" width="10.7109375" style="336"/>
    <col min="13063" max="13063" width="12.140625" style="336" bestFit="1" customWidth="1"/>
    <col min="13064" max="13064" width="12.85546875" style="336" bestFit="1" customWidth="1"/>
    <col min="13065" max="13065" width="11.140625" style="336" customWidth="1"/>
    <col min="13066" max="13066" width="12.42578125" style="336" customWidth="1"/>
    <col min="13067" max="13067" width="18.5703125" style="336" customWidth="1"/>
    <col min="13068" max="13313" width="10.7109375" style="336"/>
    <col min="13314" max="13314" width="15.5703125" style="336" bestFit="1" customWidth="1"/>
    <col min="13315" max="13315" width="8.5703125" style="336" customWidth="1"/>
    <col min="13316" max="13316" width="12.42578125" style="336" customWidth="1"/>
    <col min="13317" max="13317" width="13.7109375" style="336" customWidth="1"/>
    <col min="13318" max="13318" width="10.7109375" style="336"/>
    <col min="13319" max="13319" width="12.140625" style="336" bestFit="1" customWidth="1"/>
    <col min="13320" max="13320" width="12.85546875" style="336" bestFit="1" customWidth="1"/>
    <col min="13321" max="13321" width="11.140625" style="336" customWidth="1"/>
    <col min="13322" max="13322" width="12.42578125" style="336" customWidth="1"/>
    <col min="13323" max="13323" width="18.5703125" style="336" customWidth="1"/>
    <col min="13324" max="13569" width="10.7109375" style="336"/>
    <col min="13570" max="13570" width="15.5703125" style="336" bestFit="1" customWidth="1"/>
    <col min="13571" max="13571" width="8.5703125" style="336" customWidth="1"/>
    <col min="13572" max="13572" width="12.42578125" style="336" customWidth="1"/>
    <col min="13573" max="13573" width="13.7109375" style="336" customWidth="1"/>
    <col min="13574" max="13574" width="10.7109375" style="336"/>
    <col min="13575" max="13575" width="12.140625" style="336" bestFit="1" customWidth="1"/>
    <col min="13576" max="13576" width="12.85546875" style="336" bestFit="1" customWidth="1"/>
    <col min="13577" max="13577" width="11.140625" style="336" customWidth="1"/>
    <col min="13578" max="13578" width="12.42578125" style="336" customWidth="1"/>
    <col min="13579" max="13579" width="18.5703125" style="336" customWidth="1"/>
    <col min="13580" max="13825" width="10.7109375" style="336"/>
    <col min="13826" max="13826" width="15.5703125" style="336" bestFit="1" customWidth="1"/>
    <col min="13827" max="13827" width="8.5703125" style="336" customWidth="1"/>
    <col min="13828" max="13828" width="12.42578125" style="336" customWidth="1"/>
    <col min="13829" max="13829" width="13.7109375" style="336" customWidth="1"/>
    <col min="13830" max="13830" width="10.7109375" style="336"/>
    <col min="13831" max="13831" width="12.140625" style="336" bestFit="1" customWidth="1"/>
    <col min="13832" max="13832" width="12.85546875" style="336" bestFit="1" customWidth="1"/>
    <col min="13833" max="13833" width="11.140625" style="336" customWidth="1"/>
    <col min="13834" max="13834" width="12.42578125" style="336" customWidth="1"/>
    <col min="13835" max="13835" width="18.5703125" style="336" customWidth="1"/>
    <col min="13836" max="14081" width="10.7109375" style="336"/>
    <col min="14082" max="14082" width="15.5703125" style="336" bestFit="1" customWidth="1"/>
    <col min="14083" max="14083" width="8.5703125" style="336" customWidth="1"/>
    <col min="14084" max="14084" width="12.42578125" style="336" customWidth="1"/>
    <col min="14085" max="14085" width="13.7109375" style="336" customWidth="1"/>
    <col min="14086" max="14086" width="10.7109375" style="336"/>
    <col min="14087" max="14087" width="12.140625" style="336" bestFit="1" customWidth="1"/>
    <col min="14088" max="14088" width="12.85546875" style="336" bestFit="1" customWidth="1"/>
    <col min="14089" max="14089" width="11.140625" style="336" customWidth="1"/>
    <col min="14090" max="14090" width="12.42578125" style="336" customWidth="1"/>
    <col min="14091" max="14091" width="18.5703125" style="336" customWidth="1"/>
    <col min="14092" max="14337" width="10.7109375" style="336"/>
    <col min="14338" max="14338" width="15.5703125" style="336" bestFit="1" customWidth="1"/>
    <col min="14339" max="14339" width="8.5703125" style="336" customWidth="1"/>
    <col min="14340" max="14340" width="12.42578125" style="336" customWidth="1"/>
    <col min="14341" max="14341" width="13.7109375" style="336" customWidth="1"/>
    <col min="14342" max="14342" width="10.7109375" style="336"/>
    <col min="14343" max="14343" width="12.140625" style="336" bestFit="1" customWidth="1"/>
    <col min="14344" max="14344" width="12.85546875" style="336" bestFit="1" customWidth="1"/>
    <col min="14345" max="14345" width="11.140625" style="336" customWidth="1"/>
    <col min="14346" max="14346" width="12.42578125" style="336" customWidth="1"/>
    <col min="14347" max="14347" width="18.5703125" style="336" customWidth="1"/>
    <col min="14348" max="14593" width="10.7109375" style="336"/>
    <col min="14594" max="14594" width="15.5703125" style="336" bestFit="1" customWidth="1"/>
    <col min="14595" max="14595" width="8.5703125" style="336" customWidth="1"/>
    <col min="14596" max="14596" width="12.42578125" style="336" customWidth="1"/>
    <col min="14597" max="14597" width="13.7109375" style="336" customWidth="1"/>
    <col min="14598" max="14598" width="10.7109375" style="336"/>
    <col min="14599" max="14599" width="12.140625" style="336" bestFit="1" customWidth="1"/>
    <col min="14600" max="14600" width="12.85546875" style="336" bestFit="1" customWidth="1"/>
    <col min="14601" max="14601" width="11.140625" style="336" customWidth="1"/>
    <col min="14602" max="14602" width="12.42578125" style="336" customWidth="1"/>
    <col min="14603" max="14603" width="18.5703125" style="336" customWidth="1"/>
    <col min="14604" max="14849" width="10.7109375" style="336"/>
    <col min="14850" max="14850" width="15.5703125" style="336" bestFit="1" customWidth="1"/>
    <col min="14851" max="14851" width="8.5703125" style="336" customWidth="1"/>
    <col min="14852" max="14852" width="12.42578125" style="336" customWidth="1"/>
    <col min="14853" max="14853" width="13.7109375" style="336" customWidth="1"/>
    <col min="14854" max="14854" width="10.7109375" style="336"/>
    <col min="14855" max="14855" width="12.140625" style="336" bestFit="1" customWidth="1"/>
    <col min="14856" max="14856" width="12.85546875" style="336" bestFit="1" customWidth="1"/>
    <col min="14857" max="14857" width="11.140625" style="336" customWidth="1"/>
    <col min="14858" max="14858" width="12.42578125" style="336" customWidth="1"/>
    <col min="14859" max="14859" width="18.5703125" style="336" customWidth="1"/>
    <col min="14860" max="15105" width="10.7109375" style="336"/>
    <col min="15106" max="15106" width="15.5703125" style="336" bestFit="1" customWidth="1"/>
    <col min="15107" max="15107" width="8.5703125" style="336" customWidth="1"/>
    <col min="15108" max="15108" width="12.42578125" style="336" customWidth="1"/>
    <col min="15109" max="15109" width="13.7109375" style="336" customWidth="1"/>
    <col min="15110" max="15110" width="10.7109375" style="336"/>
    <col min="15111" max="15111" width="12.140625" style="336" bestFit="1" customWidth="1"/>
    <col min="15112" max="15112" width="12.85546875" style="336" bestFit="1" customWidth="1"/>
    <col min="15113" max="15113" width="11.140625" style="336" customWidth="1"/>
    <col min="15114" max="15114" width="12.42578125" style="336" customWidth="1"/>
    <col min="15115" max="15115" width="18.5703125" style="336" customWidth="1"/>
    <col min="15116" max="15361" width="10.7109375" style="336"/>
    <col min="15362" max="15362" width="15.5703125" style="336" bestFit="1" customWidth="1"/>
    <col min="15363" max="15363" width="8.5703125" style="336" customWidth="1"/>
    <col min="15364" max="15364" width="12.42578125" style="336" customWidth="1"/>
    <col min="15365" max="15365" width="13.7109375" style="336" customWidth="1"/>
    <col min="15366" max="15366" width="10.7109375" style="336"/>
    <col min="15367" max="15367" width="12.140625" style="336" bestFit="1" customWidth="1"/>
    <col min="15368" max="15368" width="12.85546875" style="336" bestFit="1" customWidth="1"/>
    <col min="15369" max="15369" width="11.140625" style="336" customWidth="1"/>
    <col min="15370" max="15370" width="12.42578125" style="336" customWidth="1"/>
    <col min="15371" max="15371" width="18.5703125" style="336" customWidth="1"/>
    <col min="15372" max="15617" width="10.7109375" style="336"/>
    <col min="15618" max="15618" width="15.5703125" style="336" bestFit="1" customWidth="1"/>
    <col min="15619" max="15619" width="8.5703125" style="336" customWidth="1"/>
    <col min="15620" max="15620" width="12.42578125" style="336" customWidth="1"/>
    <col min="15621" max="15621" width="13.7109375" style="336" customWidth="1"/>
    <col min="15622" max="15622" width="10.7109375" style="336"/>
    <col min="15623" max="15623" width="12.140625" style="336" bestFit="1" customWidth="1"/>
    <col min="15624" max="15624" width="12.85546875" style="336" bestFit="1" customWidth="1"/>
    <col min="15625" max="15625" width="11.140625" style="336" customWidth="1"/>
    <col min="15626" max="15626" width="12.42578125" style="336" customWidth="1"/>
    <col min="15627" max="15627" width="18.5703125" style="336" customWidth="1"/>
    <col min="15628" max="15873" width="10.7109375" style="336"/>
    <col min="15874" max="15874" width="15.5703125" style="336" bestFit="1" customWidth="1"/>
    <col min="15875" max="15875" width="8.5703125" style="336" customWidth="1"/>
    <col min="15876" max="15876" width="12.42578125" style="336" customWidth="1"/>
    <col min="15877" max="15877" width="13.7109375" style="336" customWidth="1"/>
    <col min="15878" max="15878" width="10.7109375" style="336"/>
    <col min="15879" max="15879" width="12.140625" style="336" bestFit="1" customWidth="1"/>
    <col min="15880" max="15880" width="12.85546875" style="336" bestFit="1" customWidth="1"/>
    <col min="15881" max="15881" width="11.140625" style="336" customWidth="1"/>
    <col min="15882" max="15882" width="12.42578125" style="336" customWidth="1"/>
    <col min="15883" max="15883" width="18.5703125" style="336" customWidth="1"/>
    <col min="15884" max="16129" width="10.7109375" style="336"/>
    <col min="16130" max="16130" width="15.5703125" style="336" bestFit="1" customWidth="1"/>
    <col min="16131" max="16131" width="8.5703125" style="336" customWidth="1"/>
    <col min="16132" max="16132" width="12.42578125" style="336" customWidth="1"/>
    <col min="16133" max="16133" width="13.7109375" style="336" customWidth="1"/>
    <col min="16134" max="16134" width="10.7109375" style="336"/>
    <col min="16135" max="16135" width="12.140625" style="336" bestFit="1" customWidth="1"/>
    <col min="16136" max="16136" width="12.85546875" style="336" bestFit="1" customWidth="1"/>
    <col min="16137" max="16137" width="11.140625" style="336" customWidth="1"/>
    <col min="16138" max="16138" width="12.42578125" style="336" customWidth="1"/>
    <col min="16139" max="16139" width="18.5703125" style="336" customWidth="1"/>
    <col min="16140" max="16384" width="10.7109375" style="336"/>
  </cols>
  <sheetData>
    <row r="1" spans="2:12" ht="13.5" thickBot="1"/>
    <row r="2" spans="2:12">
      <c r="B2" s="1160" t="s">
        <v>73</v>
      </c>
      <c r="C2" s="1647">
        <v>42370</v>
      </c>
      <c r="D2" s="1648"/>
      <c r="E2" s="1648"/>
      <c r="F2" s="1648"/>
      <c r="G2" s="1648"/>
      <c r="H2" s="1649"/>
    </row>
    <row r="3" spans="2:12">
      <c r="B3" s="1161" t="s">
        <v>74</v>
      </c>
      <c r="C3" s="1638" t="s">
        <v>75</v>
      </c>
      <c r="D3" s="1639"/>
      <c r="E3" s="1639"/>
      <c r="F3" s="1639"/>
      <c r="G3" s="1639"/>
      <c r="H3" s="1640"/>
    </row>
    <row r="4" spans="2:12">
      <c r="B4" s="1161" t="s">
        <v>76</v>
      </c>
      <c r="C4" s="1650" t="s">
        <v>272</v>
      </c>
      <c r="D4" s="1651"/>
      <c r="E4" s="1651"/>
      <c r="F4" s="1652"/>
      <c r="G4" s="1650" t="s">
        <v>78</v>
      </c>
      <c r="H4" s="1653"/>
      <c r="I4" s="337"/>
      <c r="J4" s="337"/>
      <c r="K4" s="337"/>
    </row>
    <row r="5" spans="2:12">
      <c r="B5" s="1161" t="s">
        <v>79</v>
      </c>
      <c r="C5" s="1654" t="s">
        <v>80</v>
      </c>
      <c r="D5" s="1655"/>
      <c r="E5" s="1655"/>
      <c r="F5" s="1655"/>
      <c r="G5" s="1655"/>
      <c r="H5" s="1656"/>
    </row>
    <row r="6" spans="2:12">
      <c r="B6" s="1161" t="s">
        <v>81</v>
      </c>
      <c r="C6" s="1657" t="s">
        <v>82</v>
      </c>
      <c r="D6" s="1658"/>
      <c r="E6" s="1658"/>
      <c r="F6" s="1658"/>
      <c r="G6" s="1658"/>
      <c r="H6" s="1659"/>
    </row>
    <row r="7" spans="2:12">
      <c r="B7" s="1161" t="s">
        <v>83</v>
      </c>
      <c r="C7" s="1638" t="s">
        <v>84</v>
      </c>
      <c r="D7" s="1639"/>
      <c r="E7" s="1639"/>
      <c r="F7" s="1639"/>
      <c r="G7" s="1639"/>
      <c r="H7" s="1640"/>
    </row>
    <row r="8" spans="2:12" ht="13.5" thickBot="1">
      <c r="B8" s="1162" t="s">
        <v>85</v>
      </c>
      <c r="C8" s="1641" t="s">
        <v>86</v>
      </c>
      <c r="D8" s="1642"/>
      <c r="E8" s="1642"/>
      <c r="F8" s="1642"/>
      <c r="G8" s="1642"/>
      <c r="H8" s="1643"/>
    </row>
    <row r="9" spans="2:12" s="338" customFormat="1" hidden="1" outlineLevel="1">
      <c r="B9" s="338" t="s">
        <v>273</v>
      </c>
    </row>
    <row r="10" spans="2:12" hidden="1" outlineLevel="1">
      <c r="B10" s="336" t="s">
        <v>274</v>
      </c>
      <c r="D10" s="339" t="s">
        <v>275</v>
      </c>
      <c r="G10" s="340" t="s">
        <v>276</v>
      </c>
      <c r="H10" s="341"/>
      <c r="I10" s="341"/>
      <c r="J10" s="341"/>
      <c r="K10" s="341"/>
      <c r="L10" s="342"/>
    </row>
    <row r="11" spans="2:12" hidden="1" outlineLevel="1">
      <c r="B11" s="336" t="s">
        <v>277</v>
      </c>
      <c r="D11" s="339">
        <v>1928</v>
      </c>
      <c r="G11" s="343" t="s">
        <v>278</v>
      </c>
      <c r="H11" s="344"/>
      <c r="I11" s="344"/>
      <c r="J11" s="344"/>
      <c r="K11" s="344"/>
      <c r="L11" s="345"/>
    </row>
    <row r="12" spans="2:12" hidden="1" outlineLevel="1">
      <c r="F12" s="346"/>
    </row>
    <row r="13" spans="2:12" hidden="1" outlineLevel="1">
      <c r="B13" s="336" t="s">
        <v>279</v>
      </c>
      <c r="F13" s="347">
        <f>IF(D11=1928,100,VLOOKUP(D11-1,B20:H105,5))</f>
        <v>100</v>
      </c>
    </row>
    <row r="14" spans="2:12" hidden="1" outlineLevel="1">
      <c r="B14" s="336" t="s">
        <v>280</v>
      </c>
      <c r="F14" s="347">
        <f>IF(D11=1928,100,VLOOKUP(D11-1,B20:H105,6))</f>
        <v>100</v>
      </c>
    </row>
    <row r="15" spans="2:12" hidden="1" outlineLevel="1">
      <c r="B15" s="336" t="s">
        <v>281</v>
      </c>
      <c r="F15" s="347">
        <f>IF(D11=1928,100,VLOOKUP(D11-1,B19:H105,7))</f>
        <v>100</v>
      </c>
    </row>
    <row r="16" spans="2:12" ht="13.5" hidden="1" outlineLevel="1" thickBot="1">
      <c r="B16" s="336" t="s">
        <v>282</v>
      </c>
      <c r="F16" s="348">
        <f>IF(D10="ST",(F107/F13)^(1/(B107-D11+1))-(G107/F14)^(1/(B107-D11+1)),(F107/F13)^(1/(B107-D11+1))-(H107/F15)^(1/(B107-D11+1)))</f>
        <v>4.543213214629449E-2</v>
      </c>
    </row>
    <row r="17" spans="2:11" ht="13.5" hidden="1" outlineLevel="1" thickBot="1"/>
    <row r="18" spans="2:11" hidden="1" outlineLevel="1">
      <c r="C18" s="349" t="s">
        <v>283</v>
      </c>
      <c r="D18" s="350"/>
      <c r="E18" s="351"/>
      <c r="F18" s="349" t="s">
        <v>284</v>
      </c>
      <c r="G18" s="350"/>
      <c r="H18" s="351"/>
    </row>
    <row r="19" spans="2:11" ht="25.5" hidden="1" outlineLevel="1">
      <c r="B19" s="352" t="s">
        <v>285</v>
      </c>
      <c r="C19" s="352" t="s">
        <v>286</v>
      </c>
      <c r="D19" s="352" t="s">
        <v>287</v>
      </c>
      <c r="E19" s="352" t="s">
        <v>288</v>
      </c>
      <c r="F19" s="353" t="s">
        <v>289</v>
      </c>
      <c r="G19" s="353" t="s">
        <v>290</v>
      </c>
      <c r="H19" s="353" t="s">
        <v>291</v>
      </c>
      <c r="I19" s="353" t="s">
        <v>292</v>
      </c>
      <c r="J19" s="353" t="s">
        <v>293</v>
      </c>
      <c r="K19" s="354" t="s">
        <v>294</v>
      </c>
    </row>
    <row r="20" spans="2:11" hidden="1" outlineLevel="1">
      <c r="B20" s="355">
        <v>1928</v>
      </c>
      <c r="C20" s="356">
        <v>0.43811155152887893</v>
      </c>
      <c r="D20" s="356">
        <v>3.0800000000000001E-2</v>
      </c>
      <c r="E20" s="356">
        <v>8.354708589799302E-3</v>
      </c>
      <c r="F20" s="357">
        <v>143.81115515288789</v>
      </c>
      <c r="G20" s="357">
        <v>103.08</v>
      </c>
      <c r="H20" s="357">
        <v>100.83547085897993</v>
      </c>
      <c r="I20" s="356">
        <v>0.40731155152887893</v>
      </c>
      <c r="J20" s="356">
        <v>0.42975684293907962</v>
      </c>
      <c r="K20" s="358"/>
    </row>
    <row r="21" spans="2:11" hidden="1" outlineLevel="1">
      <c r="B21" s="355">
        <v>1929</v>
      </c>
      <c r="C21" s="356">
        <v>-8.2979466119096595E-2</v>
      </c>
      <c r="D21" s="356">
        <v>3.1600000000000003E-2</v>
      </c>
      <c r="E21" s="356">
        <v>4.2038041563204259E-2</v>
      </c>
      <c r="F21" s="357">
        <v>131.87778227633069</v>
      </c>
      <c r="G21" s="357">
        <v>106.337328</v>
      </c>
      <c r="H21" s="357">
        <v>105.074396573995</v>
      </c>
      <c r="I21" s="356">
        <v>-0.1145794661190966</v>
      </c>
      <c r="J21" s="356">
        <v>-0.12501750768230085</v>
      </c>
      <c r="K21" s="358"/>
    </row>
    <row r="22" spans="2:11" hidden="1" outlineLevel="1">
      <c r="B22" s="355">
        <v>1930</v>
      </c>
      <c r="C22" s="356">
        <v>-0.25123636363636365</v>
      </c>
      <c r="D22" s="356">
        <v>4.5499999999999999E-2</v>
      </c>
      <c r="E22" s="356">
        <v>4.5409314348970366E-2</v>
      </c>
      <c r="F22" s="357">
        <v>98.745287812797272</v>
      </c>
      <c r="G22" s="357">
        <v>111.17567642400002</v>
      </c>
      <c r="H22" s="357">
        <v>109.84575287805193</v>
      </c>
      <c r="I22" s="356">
        <v>-0.29673636363636363</v>
      </c>
      <c r="J22" s="356">
        <v>-0.29664567798533403</v>
      </c>
      <c r="K22" s="358"/>
    </row>
    <row r="23" spans="2:11" hidden="1" outlineLevel="1">
      <c r="B23" s="355">
        <v>1931</v>
      </c>
      <c r="C23" s="356">
        <v>-0.43837548891786188</v>
      </c>
      <c r="D23" s="356">
        <v>2.3099999999999999E-2</v>
      </c>
      <c r="E23" s="356">
        <v>-2.5588559619422531E-2</v>
      </c>
      <c r="F23" s="357">
        <v>55.457773989527276</v>
      </c>
      <c r="G23" s="357">
        <v>113.74383454939441</v>
      </c>
      <c r="H23" s="357">
        <v>107.03495828159154</v>
      </c>
      <c r="I23" s="356">
        <v>-0.46147548891786189</v>
      </c>
      <c r="J23" s="356">
        <v>-0.41278692929843935</v>
      </c>
      <c r="K23" s="358"/>
    </row>
    <row r="24" spans="2:11" hidden="1" outlineLevel="1">
      <c r="B24" s="355">
        <v>1932</v>
      </c>
      <c r="C24" s="356">
        <v>-8.642364532019696E-2</v>
      </c>
      <c r="D24" s="356">
        <v>1.0699999999999999E-2</v>
      </c>
      <c r="E24" s="356">
        <v>8.7903069904773257E-2</v>
      </c>
      <c r="F24" s="357">
        <v>50.664911000008722</v>
      </c>
      <c r="G24" s="357">
        <v>114.96089357907292</v>
      </c>
      <c r="H24" s="357">
        <v>116.44365970167279</v>
      </c>
      <c r="I24" s="356">
        <v>-9.7123645320196961E-2</v>
      </c>
      <c r="J24" s="356">
        <v>-0.17432671522497023</v>
      </c>
      <c r="K24" s="358"/>
    </row>
    <row r="25" spans="2:11" hidden="1" outlineLevel="1">
      <c r="B25" s="355">
        <v>1933</v>
      </c>
      <c r="C25" s="356">
        <v>0.49982225433526023</v>
      </c>
      <c r="D25" s="356">
        <v>9.5999999999999992E-3</v>
      </c>
      <c r="E25" s="356">
        <v>1.8552720891857361E-2</v>
      </c>
      <c r="F25" s="357">
        <v>75.988361031728402</v>
      </c>
      <c r="G25" s="357">
        <v>116.06451815743202</v>
      </c>
      <c r="H25" s="357">
        <v>118.60400641974435</v>
      </c>
      <c r="I25" s="356">
        <v>0.49022225433526023</v>
      </c>
      <c r="J25" s="356">
        <v>0.48126953344340284</v>
      </c>
      <c r="K25" s="358"/>
    </row>
    <row r="26" spans="2:11" hidden="1" outlineLevel="1">
      <c r="B26" s="355">
        <v>1934</v>
      </c>
      <c r="C26" s="356">
        <v>-1.1885656970912803E-2</v>
      </c>
      <c r="D26" s="356">
        <v>3.225E-3</v>
      </c>
      <c r="E26" s="356">
        <v>7.9634426179656104E-2</v>
      </c>
      <c r="F26" s="357">
        <v>75.085189438723404</v>
      </c>
      <c r="G26" s="357">
        <v>116.43882622848975</v>
      </c>
      <c r="H26" s="357">
        <v>128.04896841358894</v>
      </c>
      <c r="I26" s="356">
        <v>-1.5110656970912803E-2</v>
      </c>
      <c r="J26" s="356">
        <v>-9.1520083150568907E-2</v>
      </c>
      <c r="K26" s="358"/>
    </row>
    <row r="27" spans="2:11" hidden="1" outlineLevel="1">
      <c r="B27" s="355">
        <v>1935</v>
      </c>
      <c r="C27" s="356">
        <v>0.46740421052631581</v>
      </c>
      <c r="D27" s="356">
        <v>1.7499999999999998E-3</v>
      </c>
      <c r="E27" s="356">
        <v>4.4720477296566127E-2</v>
      </c>
      <c r="F27" s="357">
        <v>110.18032313054879</v>
      </c>
      <c r="G27" s="357">
        <v>116.64259417438959</v>
      </c>
      <c r="H27" s="357">
        <v>133.77537939837757</v>
      </c>
      <c r="I27" s="356">
        <v>0.46565421052631584</v>
      </c>
      <c r="J27" s="356">
        <v>0.42268373322974967</v>
      </c>
      <c r="K27" s="358"/>
    </row>
    <row r="28" spans="2:11" hidden="1" outlineLevel="1">
      <c r="B28" s="355">
        <v>1936</v>
      </c>
      <c r="C28" s="356">
        <v>0.31943410275502609</v>
      </c>
      <c r="D28" s="356">
        <v>1.7000000000000001E-3</v>
      </c>
      <c r="E28" s="356">
        <v>5.0178754045450601E-2</v>
      </c>
      <c r="F28" s="357">
        <v>145.37567579101449</v>
      </c>
      <c r="G28" s="357">
        <v>116.84088658448606</v>
      </c>
      <c r="H28" s="357">
        <v>140.4880612585456</v>
      </c>
      <c r="I28" s="356">
        <v>0.31773410275502612</v>
      </c>
      <c r="J28" s="356">
        <v>0.26925534870957551</v>
      </c>
      <c r="K28" s="358"/>
    </row>
    <row r="29" spans="2:11" hidden="1" outlineLevel="1">
      <c r="B29" s="355">
        <v>1937</v>
      </c>
      <c r="C29" s="356">
        <v>-0.35336728754365537</v>
      </c>
      <c r="D29" s="356">
        <v>3.0250000000000003E-3</v>
      </c>
      <c r="E29" s="356">
        <v>1.379146059646038E-2</v>
      </c>
      <c r="F29" s="357">
        <v>94.004667561917856</v>
      </c>
      <c r="G29" s="357">
        <v>117.19433026640414</v>
      </c>
      <c r="H29" s="357">
        <v>142.42559681966594</v>
      </c>
      <c r="I29" s="356">
        <v>-0.35639228754365537</v>
      </c>
      <c r="J29" s="356">
        <v>-0.36715874814011573</v>
      </c>
      <c r="K29" s="358"/>
    </row>
    <row r="30" spans="2:11" hidden="1" outlineLevel="1">
      <c r="B30" s="355">
        <v>1938</v>
      </c>
      <c r="C30" s="356">
        <v>0.29282654028436017</v>
      </c>
      <c r="D30" s="356">
        <v>7.7499999999999997E-4</v>
      </c>
      <c r="E30" s="356">
        <v>4.2132485322046068E-2</v>
      </c>
      <c r="F30" s="357">
        <v>121.53172913465568</v>
      </c>
      <c r="G30" s="357">
        <v>117.28515587236059</v>
      </c>
      <c r="H30" s="357">
        <v>148.42634118715418</v>
      </c>
      <c r="I30" s="356">
        <v>0.29205154028436014</v>
      </c>
      <c r="J30" s="356">
        <v>0.25069405496231412</v>
      </c>
      <c r="K30" s="358"/>
    </row>
    <row r="31" spans="2:11" hidden="1" outlineLevel="1">
      <c r="B31" s="355">
        <v>1939</v>
      </c>
      <c r="C31" s="356">
        <v>-1.0975646879756443E-2</v>
      </c>
      <c r="D31" s="356">
        <v>3.7500000000000006E-4</v>
      </c>
      <c r="E31" s="356">
        <v>4.4122613942060671E-2</v>
      </c>
      <c r="F31" s="357">
        <v>120.19783979098749</v>
      </c>
      <c r="G31" s="357">
        <v>117.32913780581272</v>
      </c>
      <c r="H31" s="357">
        <v>154.97529933818757</v>
      </c>
      <c r="I31" s="356">
        <v>-1.1350646879756444E-2</v>
      </c>
      <c r="J31" s="356">
        <v>-5.509826082181711E-2</v>
      </c>
      <c r="K31" s="358"/>
    </row>
    <row r="32" spans="2:11" hidden="1" outlineLevel="1">
      <c r="B32" s="355">
        <v>1940</v>
      </c>
      <c r="C32" s="356">
        <v>-0.10672873194221515</v>
      </c>
      <c r="D32" s="356">
        <v>2.5000000000000001E-4</v>
      </c>
      <c r="E32" s="356">
        <v>5.4024815962845509E-2</v>
      </c>
      <c r="F32" s="357">
        <v>107.36927676790187</v>
      </c>
      <c r="G32" s="357">
        <v>117.35847009026418</v>
      </c>
      <c r="H32" s="357">
        <v>163.34781136372007</v>
      </c>
      <c r="I32" s="356">
        <v>-0.10697873194221515</v>
      </c>
      <c r="J32" s="356">
        <v>-0.16075354790506066</v>
      </c>
      <c r="K32" s="358"/>
    </row>
    <row r="33" spans="2:11" hidden="1" outlineLevel="1">
      <c r="B33" s="355">
        <v>1941</v>
      </c>
      <c r="C33" s="356">
        <v>-0.12771455576559551</v>
      </c>
      <c r="D33" s="356">
        <v>8.2499999999999989E-4</v>
      </c>
      <c r="E33" s="356">
        <v>-2.0221975848580105E-2</v>
      </c>
      <c r="F33" s="357">
        <v>93.656657282615996</v>
      </c>
      <c r="G33" s="357">
        <v>117.45529082808865</v>
      </c>
      <c r="H33" s="357">
        <v>160.0445958674045</v>
      </c>
      <c r="I33" s="356">
        <v>-0.1285395557655955</v>
      </c>
      <c r="J33" s="356">
        <v>-0.10749257991701541</v>
      </c>
      <c r="K33" s="358"/>
    </row>
    <row r="34" spans="2:11" hidden="1" outlineLevel="1">
      <c r="B34" s="355">
        <v>1942</v>
      </c>
      <c r="C34" s="356">
        <v>0.19173762945914843</v>
      </c>
      <c r="D34" s="356">
        <v>3.3750000000000004E-3</v>
      </c>
      <c r="E34" s="356">
        <v>2.2948682374484164E-2</v>
      </c>
      <c r="F34" s="357">
        <v>111.61416273305268</v>
      </c>
      <c r="G34" s="357">
        <v>117.85170243463344</v>
      </c>
      <c r="H34" s="357">
        <v>163.71740846371824</v>
      </c>
      <c r="I34" s="356">
        <v>0.18836262945914845</v>
      </c>
      <c r="J34" s="356">
        <v>0.16878894708466427</v>
      </c>
      <c r="K34" s="358"/>
    </row>
    <row r="35" spans="2:11" hidden="1" outlineLevel="1">
      <c r="B35" s="355">
        <v>1943</v>
      </c>
      <c r="C35" s="356">
        <v>0.25061310133060394</v>
      </c>
      <c r="D35" s="356">
        <v>3.8E-3</v>
      </c>
      <c r="E35" s="356">
        <v>2.4899999999999999E-2</v>
      </c>
      <c r="F35" s="357">
        <v>139.58613420800171</v>
      </c>
      <c r="G35" s="357">
        <v>118.29953890388505</v>
      </c>
      <c r="H35" s="357">
        <v>167.79397193446482</v>
      </c>
      <c r="I35" s="356">
        <v>0.24681310133060394</v>
      </c>
      <c r="J35" s="356">
        <v>0.22571310133060393</v>
      </c>
      <c r="K35" s="358"/>
    </row>
    <row r="36" spans="2:11" hidden="1" outlineLevel="1">
      <c r="B36" s="355">
        <v>1944</v>
      </c>
      <c r="C36" s="356">
        <v>0.19030676949443009</v>
      </c>
      <c r="D36" s="356">
        <v>3.8E-3</v>
      </c>
      <c r="E36" s="356">
        <v>2.5776111579070303E-2</v>
      </c>
      <c r="F36" s="357">
        <v>166.15032047534245</v>
      </c>
      <c r="G36" s="357">
        <v>118.74907715171982</v>
      </c>
      <c r="H36" s="357">
        <v>172.11904807734297</v>
      </c>
      <c r="I36" s="356">
        <v>0.1865067694944301</v>
      </c>
      <c r="J36" s="356">
        <v>0.16453065791535978</v>
      </c>
      <c r="K36" s="358"/>
    </row>
    <row r="37" spans="2:11" hidden="1" outlineLevel="1">
      <c r="B37" s="355">
        <v>1945</v>
      </c>
      <c r="C37" s="356">
        <v>0.35821084337349401</v>
      </c>
      <c r="D37" s="356">
        <v>3.8E-3</v>
      </c>
      <c r="E37" s="356">
        <v>3.8044173419237229E-2</v>
      </c>
      <c r="F37" s="357">
        <v>225.66716689959119</v>
      </c>
      <c r="G37" s="357">
        <v>119.20032364489636</v>
      </c>
      <c r="H37" s="357">
        <v>178.66717499115143</v>
      </c>
      <c r="I37" s="356">
        <v>0.35441084337349399</v>
      </c>
      <c r="J37" s="356">
        <v>0.3201666699542568</v>
      </c>
      <c r="K37" s="358"/>
    </row>
    <row r="38" spans="2:11" hidden="1" outlineLevel="1">
      <c r="B38" s="355">
        <v>1946</v>
      </c>
      <c r="C38" s="356">
        <v>-8.4291474654377807E-2</v>
      </c>
      <c r="D38" s="356">
        <v>3.8E-3</v>
      </c>
      <c r="E38" s="356">
        <v>3.1283745375695685E-2</v>
      </c>
      <c r="F38" s="357">
        <v>206.64534862054904</v>
      </c>
      <c r="G38" s="357">
        <v>119.65328487474697</v>
      </c>
      <c r="H38" s="357">
        <v>184.25655340056949</v>
      </c>
      <c r="I38" s="356">
        <v>-8.8091474654377805E-2</v>
      </c>
      <c r="J38" s="356">
        <v>-0.11557522003007349</v>
      </c>
      <c r="K38" s="358"/>
    </row>
    <row r="39" spans="2:11" hidden="1" outlineLevel="1">
      <c r="B39" s="355">
        <v>1947</v>
      </c>
      <c r="C39" s="356">
        <v>5.1999999999999998E-2</v>
      </c>
      <c r="D39" s="356">
        <v>5.6750000000000004E-3</v>
      </c>
      <c r="E39" s="356">
        <v>9.1969680628322358E-3</v>
      </c>
      <c r="F39" s="357">
        <v>217.3909067488176</v>
      </c>
      <c r="G39" s="357">
        <v>120.33231726641117</v>
      </c>
      <c r="H39" s="357">
        <v>185.95115503756207</v>
      </c>
      <c r="I39" s="356">
        <v>4.6324999999999998E-2</v>
      </c>
      <c r="J39" s="356">
        <v>4.2803031937167765E-2</v>
      </c>
      <c r="K39" s="358"/>
    </row>
    <row r="40" spans="2:11" hidden="1" outlineLevel="1">
      <c r="B40" s="355">
        <v>1948</v>
      </c>
      <c r="C40" s="356">
        <v>5.7045751633986834E-2</v>
      </c>
      <c r="D40" s="356">
        <v>1.0225E-2</v>
      </c>
      <c r="E40" s="356">
        <v>1.9510369413175046E-2</v>
      </c>
      <c r="F40" s="357">
        <v>229.79213442269784</v>
      </c>
      <c r="G40" s="357">
        <v>121.56271521046021</v>
      </c>
      <c r="H40" s="357">
        <v>189.57913076515149</v>
      </c>
      <c r="I40" s="356">
        <v>4.6820751633986836E-2</v>
      </c>
      <c r="J40" s="356">
        <v>3.7535382220811792E-2</v>
      </c>
      <c r="K40" s="358"/>
    </row>
    <row r="41" spans="2:11" hidden="1" outlineLevel="1">
      <c r="B41" s="355">
        <v>1949</v>
      </c>
      <c r="C41" s="356">
        <v>0.18303223684210526</v>
      </c>
      <c r="D41" s="356">
        <v>1.1025E-2</v>
      </c>
      <c r="E41" s="356">
        <v>4.6634851827973139E-2</v>
      </c>
      <c r="F41" s="357">
        <v>271.85150279480598</v>
      </c>
      <c r="G41" s="357">
        <v>122.90294414565554</v>
      </c>
      <c r="H41" s="357">
        <v>198.42012543806027</v>
      </c>
      <c r="I41" s="356">
        <v>0.17200723684210525</v>
      </c>
      <c r="J41" s="356">
        <v>0.13639738501413212</v>
      </c>
      <c r="K41" s="358"/>
    </row>
    <row r="42" spans="2:11" hidden="1" outlineLevel="1">
      <c r="B42" s="355">
        <v>1950</v>
      </c>
      <c r="C42" s="356">
        <v>0.30805539011316263</v>
      </c>
      <c r="D42" s="356">
        <v>1.1724999999999999E-2</v>
      </c>
      <c r="E42" s="356">
        <v>4.2959574171096103E-3</v>
      </c>
      <c r="F42" s="357">
        <v>355.59682354110947</v>
      </c>
      <c r="G42" s="357">
        <v>124.34398116576335</v>
      </c>
      <c r="H42" s="357">
        <v>199.2725298476397</v>
      </c>
      <c r="I42" s="356">
        <v>0.29633039011316264</v>
      </c>
      <c r="J42" s="356">
        <v>0.30375943269605304</v>
      </c>
      <c r="K42" s="358"/>
    </row>
    <row r="43" spans="2:11" hidden="1" outlineLevel="1">
      <c r="B43" s="355">
        <v>1951</v>
      </c>
      <c r="C43" s="356">
        <v>0.23678463044542339</v>
      </c>
      <c r="D43" s="356">
        <v>1.4775E-2</v>
      </c>
      <c r="E43" s="356">
        <v>-2.9531392208319886E-3</v>
      </c>
      <c r="F43" s="357">
        <v>439.7966859908575</v>
      </c>
      <c r="G43" s="357">
        <v>126.18116348748751</v>
      </c>
      <c r="H43" s="357">
        <v>198.68405032411223</v>
      </c>
      <c r="I43" s="356">
        <v>0.22200963044542338</v>
      </c>
      <c r="J43" s="356">
        <v>0.23973776966625537</v>
      </c>
      <c r="K43" s="358"/>
    </row>
    <row r="44" spans="2:11" hidden="1" outlineLevel="1">
      <c r="B44" s="355">
        <v>1952</v>
      </c>
      <c r="C44" s="356">
        <v>0.18150988641144306</v>
      </c>
      <c r="D44" s="356">
        <v>1.6725E-2</v>
      </c>
      <c r="E44" s="356">
        <v>2.2679961918305656E-2</v>
      </c>
      <c r="F44" s="357">
        <v>519.62413250918712</v>
      </c>
      <c r="G44" s="357">
        <v>128.29154344681575</v>
      </c>
      <c r="H44" s="357">
        <v>203.19019701923781</v>
      </c>
      <c r="I44" s="356">
        <v>0.16478488641144307</v>
      </c>
      <c r="J44" s="356">
        <v>0.1588299244931374</v>
      </c>
      <c r="K44" s="358"/>
    </row>
    <row r="45" spans="2:11" hidden="1" outlineLevel="1">
      <c r="B45" s="355">
        <v>1953</v>
      </c>
      <c r="C45" s="356">
        <v>-1.2082047421904465E-2</v>
      </c>
      <c r="D45" s="356">
        <v>1.8925000000000001E-2</v>
      </c>
      <c r="E45" s="356">
        <v>4.1438402589088513E-2</v>
      </c>
      <c r="F45" s="357">
        <v>513.34600909864514</v>
      </c>
      <c r="G45" s="357">
        <v>130.71946090654674</v>
      </c>
      <c r="H45" s="357">
        <v>211.61007420547722</v>
      </c>
      <c r="I45" s="356">
        <v>-3.1007047421904466E-2</v>
      </c>
      <c r="J45" s="356">
        <v>-5.3520450010992981E-2</v>
      </c>
      <c r="K45" s="358"/>
    </row>
    <row r="46" spans="2:11" hidden="1" outlineLevel="1">
      <c r="B46" s="355">
        <v>1954</v>
      </c>
      <c r="C46" s="356">
        <v>0.52563321241434902</v>
      </c>
      <c r="D46" s="356">
        <v>9.6249999999999999E-3</v>
      </c>
      <c r="E46" s="356">
        <v>3.2898034558095555E-2</v>
      </c>
      <c r="F46" s="357">
        <v>783.17772094125166</v>
      </c>
      <c r="G46" s="357">
        <v>131.97763571777224</v>
      </c>
      <c r="H46" s="357">
        <v>218.57162973953018</v>
      </c>
      <c r="I46" s="356">
        <v>0.51600821241434902</v>
      </c>
      <c r="J46" s="356">
        <v>0.49273517785625348</v>
      </c>
      <c r="K46" s="358"/>
    </row>
    <row r="47" spans="2:11" hidden="1" outlineLevel="1">
      <c r="B47" s="355">
        <v>1955</v>
      </c>
      <c r="C47" s="356">
        <v>0.32597331851028349</v>
      </c>
      <c r="D47" s="356">
        <v>1.66E-2</v>
      </c>
      <c r="E47" s="356">
        <v>-1.3364391288618781E-2</v>
      </c>
      <c r="F47" s="357">
        <v>1038.4727616197922</v>
      </c>
      <c r="G47" s="357">
        <v>134.16846447068727</v>
      </c>
      <c r="H47" s="357">
        <v>215.65055295509998</v>
      </c>
      <c r="I47" s="356">
        <v>0.30937331851028349</v>
      </c>
      <c r="J47" s="356">
        <v>0.33933770979890227</v>
      </c>
      <c r="K47" s="358"/>
    </row>
    <row r="48" spans="2:11" hidden="1" outlineLevel="1">
      <c r="B48" s="355">
        <v>1956</v>
      </c>
      <c r="C48" s="356">
        <v>7.4395118733509347E-2</v>
      </c>
      <c r="D48" s="356">
        <v>2.5550000000000003E-2</v>
      </c>
      <c r="E48" s="356">
        <v>-2.2557738173154165E-2</v>
      </c>
      <c r="F48" s="357">
        <v>1115.7300660220119</v>
      </c>
      <c r="G48" s="357">
        <v>137.59646873791331</v>
      </c>
      <c r="H48" s="357">
        <v>210.78596424464291</v>
      </c>
      <c r="I48" s="356">
        <v>4.8845118733509343E-2</v>
      </c>
      <c r="J48" s="356">
        <v>9.6952856906663512E-2</v>
      </c>
      <c r="K48" s="358"/>
    </row>
    <row r="49" spans="2:11" hidden="1" outlineLevel="1">
      <c r="B49" s="355">
        <v>1957</v>
      </c>
      <c r="C49" s="356">
        <v>-0.1045736018855796</v>
      </c>
      <c r="D49" s="356">
        <v>3.2300000000000002E-2</v>
      </c>
      <c r="E49" s="356">
        <v>6.7970128466249904E-2</v>
      </c>
      <c r="F49" s="357">
        <v>999.05415428605454</v>
      </c>
      <c r="G49" s="357">
        <v>142.04083467814792</v>
      </c>
      <c r="H49" s="357">
        <v>225.11311331323367</v>
      </c>
      <c r="I49" s="356">
        <v>-0.13687360188557959</v>
      </c>
      <c r="J49" s="356">
        <v>-0.17254373035182952</v>
      </c>
      <c r="K49" s="358"/>
    </row>
    <row r="50" spans="2:11" hidden="1" outlineLevel="1">
      <c r="B50" s="355">
        <v>1958</v>
      </c>
      <c r="C50" s="356">
        <v>0.43719954988747184</v>
      </c>
      <c r="D50" s="356">
        <v>1.7774999999999999E-2</v>
      </c>
      <c r="E50" s="356">
        <v>-2.0990181755274694E-2</v>
      </c>
      <c r="F50" s="357">
        <v>1435.8401808531264</v>
      </c>
      <c r="G50" s="357">
        <v>144.56561051455202</v>
      </c>
      <c r="H50" s="357">
        <v>220.38794814929315</v>
      </c>
      <c r="I50" s="356">
        <v>0.41942454988747185</v>
      </c>
      <c r="J50" s="356">
        <v>0.45818973164274651</v>
      </c>
      <c r="K50" s="358"/>
    </row>
    <row r="51" spans="2:11" hidden="1" outlineLevel="1">
      <c r="B51" s="355">
        <v>1959</v>
      </c>
      <c r="C51" s="356">
        <v>0.12056457163557326</v>
      </c>
      <c r="D51" s="356">
        <v>3.2549999999999996E-2</v>
      </c>
      <c r="E51" s="356">
        <v>-2.6466312591385065E-2</v>
      </c>
      <c r="F51" s="357">
        <v>1608.9516371948275</v>
      </c>
      <c r="G51" s="357">
        <v>149.2712211368007</v>
      </c>
      <c r="H51" s="357">
        <v>214.55509182219998</v>
      </c>
      <c r="I51" s="356">
        <v>8.801457163557326E-2</v>
      </c>
      <c r="J51" s="356">
        <v>0.14703088422695831</v>
      </c>
      <c r="K51" s="358"/>
    </row>
    <row r="52" spans="2:11" hidden="1" outlineLevel="1">
      <c r="B52" s="355">
        <v>1960</v>
      </c>
      <c r="C52" s="356">
        <v>3.36535314743695E-3</v>
      </c>
      <c r="D52" s="356">
        <v>3.0449999999999998E-2</v>
      </c>
      <c r="E52" s="356">
        <v>0.11639503690963365</v>
      </c>
      <c r="F52" s="357">
        <v>1614.366327651135</v>
      </c>
      <c r="G52" s="357">
        <v>153.81652982041629</v>
      </c>
      <c r="H52" s="357">
        <v>239.52823965399477</v>
      </c>
      <c r="I52" s="356">
        <v>-2.7084646852563048E-2</v>
      </c>
      <c r="J52" s="356">
        <v>-0.1130296837621967</v>
      </c>
      <c r="K52" s="359">
        <v>6.1119788031217315E-2</v>
      </c>
    </row>
    <row r="53" spans="2:11" hidden="1" outlineLevel="1">
      <c r="B53" s="355">
        <v>1961</v>
      </c>
      <c r="C53" s="356">
        <v>0.26637712958182752</v>
      </c>
      <c r="D53" s="356">
        <v>2.2675000000000001E-2</v>
      </c>
      <c r="E53" s="356">
        <v>2.0609208076323167E-2</v>
      </c>
      <c r="F53" s="357">
        <v>2044.3965961044005</v>
      </c>
      <c r="G53" s="357">
        <v>157.30431963409424</v>
      </c>
      <c r="H53" s="357">
        <v>244.46472698517934</v>
      </c>
      <c r="I53" s="356">
        <v>0.24370212958182752</v>
      </c>
      <c r="J53" s="356">
        <v>0.24576792150550436</v>
      </c>
      <c r="K53" s="359">
        <v>6.6173591829972622E-2</v>
      </c>
    </row>
    <row r="54" spans="2:11" hidden="1" outlineLevel="1">
      <c r="B54" s="355">
        <v>1962</v>
      </c>
      <c r="C54" s="356">
        <v>-8.8114605171208879E-2</v>
      </c>
      <c r="D54" s="356">
        <v>2.7775000000000005E-2</v>
      </c>
      <c r="E54" s="356">
        <v>5.693544054008462E-2</v>
      </c>
      <c r="F54" s="357">
        <v>1864.2553972252979</v>
      </c>
      <c r="G54" s="357">
        <v>161.67344711193124</v>
      </c>
      <c r="H54" s="357">
        <v>258.38343391259201</v>
      </c>
      <c r="I54" s="356">
        <v>-0.11588960517120889</v>
      </c>
      <c r="J54" s="356">
        <v>-0.14505004571129348</v>
      </c>
      <c r="K54" s="359">
        <v>5.9683465378989942E-2</v>
      </c>
    </row>
    <row r="55" spans="2:11" hidden="1" outlineLevel="1">
      <c r="B55" s="355">
        <v>1963</v>
      </c>
      <c r="C55" s="356">
        <v>0.22611927099841514</v>
      </c>
      <c r="D55" s="356">
        <v>3.1100000000000003E-2</v>
      </c>
      <c r="E55" s="356">
        <v>1.6841620739546127E-2</v>
      </c>
      <c r="F55" s="357">
        <v>2285.7994686007432</v>
      </c>
      <c r="G55" s="357">
        <v>166.70149131711227</v>
      </c>
      <c r="H55" s="357">
        <v>262.73502971192949</v>
      </c>
      <c r="I55" s="356">
        <v>0.19501927099841515</v>
      </c>
      <c r="J55" s="356">
        <v>0.20927765025886902</v>
      </c>
      <c r="K55" s="359">
        <v>6.3618993911514821E-2</v>
      </c>
    </row>
    <row r="56" spans="2:11" hidden="1" outlineLevel="1">
      <c r="B56" s="355">
        <v>1964</v>
      </c>
      <c r="C56" s="356">
        <v>0.16415455878432425</v>
      </c>
      <c r="D56" s="356">
        <v>3.5049999999999998E-2</v>
      </c>
      <c r="E56" s="356">
        <v>3.7280648911540815E-2</v>
      </c>
      <c r="F56" s="357">
        <v>2661.0238718383412</v>
      </c>
      <c r="G56" s="357">
        <v>172.54437858777706</v>
      </c>
      <c r="H56" s="357">
        <v>272.52996211138321</v>
      </c>
      <c r="I56" s="356">
        <v>0.12910455878432425</v>
      </c>
      <c r="J56" s="356">
        <v>0.12687390987278344</v>
      </c>
      <c r="K56" s="359">
        <v>6.5267777442658215E-2</v>
      </c>
    </row>
    <row r="57" spans="2:11" hidden="1" outlineLevel="1">
      <c r="B57" s="355">
        <v>1965</v>
      </c>
      <c r="C57" s="356">
        <v>0.12399242477876114</v>
      </c>
      <c r="D57" s="356">
        <v>3.9024999999999997E-2</v>
      </c>
      <c r="E57" s="356">
        <v>7.1885509359262342E-3</v>
      </c>
      <c r="F57" s="357">
        <v>2990.9706741017444</v>
      </c>
      <c r="G57" s="357">
        <v>179.27792296216506</v>
      </c>
      <c r="H57" s="357">
        <v>274.48905762558695</v>
      </c>
      <c r="I57" s="356">
        <v>8.4967424778761153E-2</v>
      </c>
      <c r="J57" s="356">
        <v>0.11680387384283492</v>
      </c>
      <c r="K57" s="359">
        <v>6.6617941689874449E-2</v>
      </c>
    </row>
    <row r="58" spans="2:11" hidden="1" outlineLevel="1">
      <c r="B58" s="355">
        <v>1966</v>
      </c>
      <c r="C58" s="356">
        <v>-9.9709542356377898E-2</v>
      </c>
      <c r="D58" s="356">
        <v>4.8399999999999999E-2</v>
      </c>
      <c r="E58" s="356">
        <v>2.9079409324299622E-2</v>
      </c>
      <c r="F58" s="357">
        <v>2692.7423569857124</v>
      </c>
      <c r="G58" s="357">
        <v>187.95497443353386</v>
      </c>
      <c r="H58" s="357">
        <v>282.47103728732264</v>
      </c>
      <c r="I58" s="356">
        <v>-0.14810954235637791</v>
      </c>
      <c r="J58" s="356">
        <v>-0.12878895168067753</v>
      </c>
      <c r="K58" s="359">
        <v>6.1123719679815336E-2</v>
      </c>
    </row>
    <row r="59" spans="2:11" hidden="1" outlineLevel="1">
      <c r="B59" s="355">
        <v>1967</v>
      </c>
      <c r="C59" s="356">
        <v>0.23802966513133328</v>
      </c>
      <c r="D59" s="356">
        <v>4.3324999999999995E-2</v>
      </c>
      <c r="E59" s="356">
        <v>-1.5806209932824666E-2</v>
      </c>
      <c r="F59" s="357">
        <v>3333.6949185039784</v>
      </c>
      <c r="G59" s="357">
        <v>196.09812370086672</v>
      </c>
      <c r="H59" s="357">
        <v>278.0062407720165</v>
      </c>
      <c r="I59" s="356">
        <v>0.19470466513133328</v>
      </c>
      <c r="J59" s="356">
        <v>0.25383587506415795</v>
      </c>
      <c r="K59" s="359">
        <v>6.5732838776739522E-2</v>
      </c>
    </row>
    <row r="60" spans="2:11" hidden="1" outlineLevel="1">
      <c r="B60" s="355">
        <v>1968</v>
      </c>
      <c r="C60" s="356">
        <v>0.10814862651601535</v>
      </c>
      <c r="D60" s="356">
        <v>5.2600000000000001E-2</v>
      </c>
      <c r="E60" s="356">
        <v>3.2746196950768365E-2</v>
      </c>
      <c r="F60" s="357">
        <v>3694.2294451636035</v>
      </c>
      <c r="G60" s="357">
        <v>206.41288500753231</v>
      </c>
      <c r="H60" s="357">
        <v>287.10988788587969</v>
      </c>
      <c r="I60" s="356">
        <v>5.5548626516015352E-2</v>
      </c>
      <c r="J60" s="356">
        <v>7.5402429565246981E-2</v>
      </c>
      <c r="K60" s="359">
        <v>6.596627828748769E-2</v>
      </c>
    </row>
    <row r="61" spans="2:11" hidden="1" outlineLevel="1">
      <c r="B61" s="355">
        <v>1969</v>
      </c>
      <c r="C61" s="356">
        <v>-8.2413710764490639E-2</v>
      </c>
      <c r="D61" s="356">
        <v>6.5625000000000003E-2</v>
      </c>
      <c r="E61" s="356">
        <v>-5.0140493209926106E-2</v>
      </c>
      <c r="F61" s="357">
        <v>3389.7742881722256</v>
      </c>
      <c r="G61" s="357">
        <v>219.95873058615163</v>
      </c>
      <c r="H61" s="357">
        <v>272.7140565018351</v>
      </c>
      <c r="I61" s="356">
        <v>-0.14803871076449066</v>
      </c>
      <c r="J61" s="356">
        <v>-3.2273217554564533E-2</v>
      </c>
      <c r="K61" s="359">
        <v>6.3333872734198771E-2</v>
      </c>
    </row>
    <row r="62" spans="2:11" hidden="1" outlineLevel="1">
      <c r="B62" s="355">
        <v>1970</v>
      </c>
      <c r="C62" s="356">
        <v>3.5611449054964189E-2</v>
      </c>
      <c r="D62" s="356">
        <v>6.6849999999999993E-2</v>
      </c>
      <c r="E62" s="356">
        <v>0.16754737183412338</v>
      </c>
      <c r="F62" s="357">
        <v>3510.4890625432981</v>
      </c>
      <c r="G62" s="357">
        <v>234.66297172583589</v>
      </c>
      <c r="H62" s="357">
        <v>318.40657993094021</v>
      </c>
      <c r="I62" s="356">
        <v>-3.1238550945035803E-2</v>
      </c>
      <c r="J62" s="356">
        <v>-0.13193592277915919</v>
      </c>
      <c r="K62" s="359">
        <v>5.8972566666315007E-2</v>
      </c>
    </row>
    <row r="63" spans="2:11" hidden="1" outlineLevel="1">
      <c r="B63" s="355">
        <v>1971</v>
      </c>
      <c r="C63" s="356">
        <v>0.14221150298426474</v>
      </c>
      <c r="D63" s="356">
        <v>4.5400000000000003E-2</v>
      </c>
      <c r="E63" s="356">
        <v>9.7868966197122972E-2</v>
      </c>
      <c r="F63" s="357">
        <v>4009.720988337403</v>
      </c>
      <c r="G63" s="357">
        <v>245.31667064218885</v>
      </c>
      <c r="H63" s="357">
        <v>349.56870273914296</v>
      </c>
      <c r="I63" s="356">
        <v>9.6811502984264747E-2</v>
      </c>
      <c r="J63" s="356">
        <v>4.434253678714177E-2</v>
      </c>
      <c r="K63" s="359">
        <v>5.8660636809878541E-2</v>
      </c>
    </row>
    <row r="64" spans="2:11" hidden="1" outlineLevel="1">
      <c r="B64" s="355">
        <v>1972</v>
      </c>
      <c r="C64" s="356">
        <v>0.18755362915074925</v>
      </c>
      <c r="D64" s="356">
        <v>3.9525000000000005E-2</v>
      </c>
      <c r="E64" s="356">
        <v>2.818449050444969E-2</v>
      </c>
      <c r="F64" s="357">
        <v>4761.7587115820115</v>
      </c>
      <c r="G64" s="357">
        <v>255.01281204932138</v>
      </c>
      <c r="H64" s="357">
        <v>359.42111852214714</v>
      </c>
      <c r="I64" s="356">
        <v>0.14802862915074924</v>
      </c>
      <c r="J64" s="356">
        <v>0.15936913864629956</v>
      </c>
      <c r="K64" s="359">
        <v>6.0804303728189568E-2</v>
      </c>
    </row>
    <row r="65" spans="2:11" hidden="1" outlineLevel="1">
      <c r="B65" s="355">
        <v>1973</v>
      </c>
      <c r="C65" s="356">
        <v>-0.14308047437526472</v>
      </c>
      <c r="D65" s="356">
        <v>6.724999999999999E-2</v>
      </c>
      <c r="E65" s="356">
        <v>3.6586646024150085E-2</v>
      </c>
      <c r="F65" s="357">
        <v>4080.4440162683081</v>
      </c>
      <c r="G65" s="357">
        <v>272.16242365963825</v>
      </c>
      <c r="H65" s="357">
        <v>372.57113175912104</v>
      </c>
      <c r="I65" s="356">
        <v>-0.2103304743752647</v>
      </c>
      <c r="J65" s="356">
        <v>-0.17966712039941479</v>
      </c>
      <c r="K65" s="359">
        <v>5.4960045718843054E-2</v>
      </c>
    </row>
    <row r="66" spans="2:11" hidden="1" outlineLevel="1">
      <c r="B66" s="355">
        <v>1974</v>
      </c>
      <c r="C66" s="356">
        <v>-0.25901785750896972</v>
      </c>
      <c r="D66" s="356">
        <v>7.7775000000000011E-2</v>
      </c>
      <c r="E66" s="356">
        <v>1.9886086932378574E-2</v>
      </c>
      <c r="F66" s="357">
        <v>3023.5361494891954</v>
      </c>
      <c r="G66" s="357">
        <v>293.32985615976662</v>
      </c>
      <c r="H66" s="357">
        <v>379.98011367377757</v>
      </c>
      <c r="I66" s="356">
        <v>-0.3367928575089697</v>
      </c>
      <c r="J66" s="356">
        <v>-0.27890394444134831</v>
      </c>
      <c r="K66" s="359">
        <v>4.6417018581159875E-2</v>
      </c>
    </row>
    <row r="67" spans="2:11" hidden="1" outlineLevel="1">
      <c r="B67" s="355">
        <v>1975</v>
      </c>
      <c r="C67" s="356">
        <v>0.36995137106184356</v>
      </c>
      <c r="D67" s="356">
        <v>5.9900000000000002E-2</v>
      </c>
      <c r="E67" s="356">
        <v>3.6052536026033838E-2</v>
      </c>
      <c r="F67" s="357">
        <v>4142.0974934477708</v>
      </c>
      <c r="G67" s="357">
        <v>310.90031454373667</v>
      </c>
      <c r="H67" s="357">
        <v>393.67936041117781</v>
      </c>
      <c r="I67" s="356">
        <v>0.31005137106184355</v>
      </c>
      <c r="J67" s="356">
        <v>0.33389883503580975</v>
      </c>
      <c r="K67" s="359">
        <v>5.1706756781676244E-2</v>
      </c>
    </row>
    <row r="68" spans="2:11" hidden="1" outlineLevel="1">
      <c r="B68" s="355">
        <v>1976</v>
      </c>
      <c r="C68" s="356">
        <v>0.23830999002106662</v>
      </c>
      <c r="D68" s="356">
        <v>4.9700000000000008E-2</v>
      </c>
      <c r="E68" s="356">
        <v>0.1598456074290921</v>
      </c>
      <c r="F68" s="357">
        <v>5129.2007057775936</v>
      </c>
      <c r="G68" s="357">
        <v>326.35206017656043</v>
      </c>
      <c r="H68" s="357">
        <v>456.607276908399</v>
      </c>
      <c r="I68" s="356">
        <v>0.1886099900210666</v>
      </c>
      <c r="J68" s="356">
        <v>7.8464382591974524E-2</v>
      </c>
      <c r="K68" s="359">
        <v>5.2196588038950109E-2</v>
      </c>
    </row>
    <row r="69" spans="2:11" hidden="1" outlineLevel="1">
      <c r="B69" s="355">
        <v>1977</v>
      </c>
      <c r="C69" s="356">
        <v>-6.9797040759352322E-2</v>
      </c>
      <c r="D69" s="356">
        <v>5.1275000000000001E-2</v>
      </c>
      <c r="E69" s="356">
        <v>1.2899606071070449E-2</v>
      </c>
      <c r="F69" s="357">
        <v>4771.1976750535359</v>
      </c>
      <c r="G69" s="357">
        <v>343.08576206211353</v>
      </c>
      <c r="H69" s="357">
        <v>462.49733090970153</v>
      </c>
      <c r="I69" s="356">
        <v>-0.12107204075935232</v>
      </c>
      <c r="J69" s="356">
        <v>-8.2696646830422771E-2</v>
      </c>
      <c r="K69" s="359">
        <v>4.9266761357046551E-2</v>
      </c>
    </row>
    <row r="70" spans="2:11" hidden="1" outlineLevel="1">
      <c r="B70" s="355">
        <v>1978</v>
      </c>
      <c r="C70" s="356">
        <v>6.50928391167193E-2</v>
      </c>
      <c r="D70" s="356">
        <v>6.9325000000000012E-2</v>
      </c>
      <c r="E70" s="356">
        <v>-7.7758069075086478E-3</v>
      </c>
      <c r="F70" s="357">
        <v>5081.7684777098611</v>
      </c>
      <c r="G70" s="357">
        <v>366.87018251706957</v>
      </c>
      <c r="H70" s="357">
        <v>458.90104096930958</v>
      </c>
      <c r="I70" s="356">
        <v>-4.2321608832807112E-3</v>
      </c>
      <c r="J70" s="356">
        <v>7.2868646024227948E-2</v>
      </c>
      <c r="K70" s="359">
        <v>4.9741898913203242E-2</v>
      </c>
    </row>
    <row r="71" spans="2:11" hidden="1" outlineLevel="1">
      <c r="B71" s="355">
        <v>1979</v>
      </c>
      <c r="C71" s="356">
        <v>0.18519490167516386</v>
      </c>
      <c r="D71" s="356">
        <v>9.9375000000000005E-2</v>
      </c>
      <c r="E71" s="356">
        <v>6.7072031247235459E-3</v>
      </c>
      <c r="F71" s="357">
        <v>6022.8860912752862</v>
      </c>
      <c r="G71" s="357">
        <v>403.32790690470335</v>
      </c>
      <c r="H71" s="357">
        <v>461.97898346523777</v>
      </c>
      <c r="I71" s="356">
        <v>8.5819901675163859E-2</v>
      </c>
      <c r="J71" s="356">
        <v>0.17848769855044033</v>
      </c>
      <c r="K71" s="359">
        <v>5.2132252828986925E-2</v>
      </c>
    </row>
    <row r="72" spans="2:11" hidden="1" outlineLevel="1">
      <c r="B72" s="355">
        <v>1980</v>
      </c>
      <c r="C72" s="356">
        <v>0.3173524550676301</v>
      </c>
      <c r="D72" s="356">
        <v>0.11219999999999999</v>
      </c>
      <c r="E72" s="356">
        <v>-2.989744251999403E-2</v>
      </c>
      <c r="F72" s="357">
        <v>7934.2637789341807</v>
      </c>
      <c r="G72" s="357">
        <v>448.5812980594111</v>
      </c>
      <c r="H72" s="357">
        <v>448.16699336164055</v>
      </c>
      <c r="I72" s="356">
        <v>0.20515245506763011</v>
      </c>
      <c r="J72" s="356">
        <v>0.34724989758762415</v>
      </c>
      <c r="K72" s="359">
        <v>5.7318705257589642E-2</v>
      </c>
    </row>
    <row r="73" spans="2:11" hidden="1" outlineLevel="1">
      <c r="B73" s="355">
        <v>1981</v>
      </c>
      <c r="C73" s="356">
        <v>-4.7023902474955762E-2</v>
      </c>
      <c r="D73" s="356">
        <v>0.14299999999999999</v>
      </c>
      <c r="E73" s="356">
        <v>8.1992153358923542E-2</v>
      </c>
      <c r="F73" s="357">
        <v>7561.1637327830058</v>
      </c>
      <c r="G73" s="357">
        <v>512.72842368190686</v>
      </c>
      <c r="H73" s="357">
        <v>484.91317021175587</v>
      </c>
      <c r="I73" s="356">
        <v>-0.19002390247495576</v>
      </c>
      <c r="J73" s="356">
        <v>-0.12901605583387932</v>
      </c>
      <c r="K73" s="359">
        <v>5.3730990468644491E-2</v>
      </c>
    </row>
    <row r="74" spans="2:11" hidden="1" outlineLevel="1">
      <c r="B74" s="355">
        <v>1982</v>
      </c>
      <c r="C74" s="356">
        <v>0.20419055079559353</v>
      </c>
      <c r="D74" s="356">
        <v>0.1101</v>
      </c>
      <c r="E74" s="356">
        <v>0.32814549486295586</v>
      </c>
      <c r="F74" s="357">
        <v>9105.0819200356327</v>
      </c>
      <c r="G74" s="357">
        <v>569.17982312928484</v>
      </c>
      <c r="H74" s="357">
        <v>644.03524241645721</v>
      </c>
      <c r="I74" s="356">
        <v>9.4090550795593531E-2</v>
      </c>
      <c r="J74" s="356">
        <v>-0.12395494406736232</v>
      </c>
      <c r="K74" s="359">
        <v>5.1038688692139678E-2</v>
      </c>
    </row>
    <row r="75" spans="2:11" hidden="1" outlineLevel="1">
      <c r="B75" s="355">
        <v>1983</v>
      </c>
      <c r="C75" s="356">
        <v>0.22337155858930619</v>
      </c>
      <c r="D75" s="356">
        <v>8.4474999999999995E-2</v>
      </c>
      <c r="E75" s="356">
        <v>3.2002094451429264E-2</v>
      </c>
      <c r="F75" s="357">
        <v>11138.898259597305</v>
      </c>
      <c r="G75" s="357">
        <v>617.26128868813123</v>
      </c>
      <c r="H75" s="357">
        <v>664.64571907431775</v>
      </c>
      <c r="I75" s="356">
        <v>0.13889655858930619</v>
      </c>
      <c r="J75" s="356">
        <v>0.19136946413787692</v>
      </c>
      <c r="K75" s="359">
        <v>5.3402830654563971E-2</v>
      </c>
    </row>
    <row r="76" spans="2:11" hidden="1" outlineLevel="1">
      <c r="B76" s="355">
        <v>1984</v>
      </c>
      <c r="C76" s="356">
        <v>6.14614199963621E-2</v>
      </c>
      <c r="D76" s="356">
        <v>9.6125000000000002E-2</v>
      </c>
      <c r="E76" s="356">
        <v>0.13733364344102345</v>
      </c>
      <c r="F76" s="357">
        <v>11823.510763827162</v>
      </c>
      <c r="G76" s="357">
        <v>676.59553006327781</v>
      </c>
      <c r="H76" s="357">
        <v>755.92393727227272</v>
      </c>
      <c r="I76" s="356">
        <v>-3.4663580003637902E-2</v>
      </c>
      <c r="J76" s="356">
        <v>-7.5872223444661352E-2</v>
      </c>
      <c r="K76" s="359">
        <v>5.1212126318051387E-2</v>
      </c>
    </row>
    <row r="77" spans="2:11" hidden="1" outlineLevel="1">
      <c r="B77" s="355">
        <v>1985</v>
      </c>
      <c r="C77" s="356">
        <v>0.31235149485768948</v>
      </c>
      <c r="D77" s="356">
        <v>7.4874999999999997E-2</v>
      </c>
      <c r="E77" s="356">
        <v>0.2571248821260641</v>
      </c>
      <c r="F77" s="357">
        <v>15516.602025374559</v>
      </c>
      <c r="G77" s="357">
        <v>727.25562037676571</v>
      </c>
      <c r="H77" s="357">
        <v>950.2907905396761</v>
      </c>
      <c r="I77" s="356">
        <v>0.23747649485768949</v>
      </c>
      <c r="J77" s="356">
        <v>5.522661273162538E-2</v>
      </c>
      <c r="K77" s="359">
        <v>5.1284365102581608E-2</v>
      </c>
    </row>
    <row r="78" spans="2:11" hidden="1" outlineLevel="1">
      <c r="B78" s="355">
        <v>1986</v>
      </c>
      <c r="C78" s="356">
        <v>0.18494578758046187</v>
      </c>
      <c r="D78" s="356">
        <v>6.0350000000000001E-2</v>
      </c>
      <c r="E78" s="356">
        <v>0.24284215141767618</v>
      </c>
      <c r="F78" s="357">
        <v>18386.332207530046</v>
      </c>
      <c r="G78" s="357">
        <v>771.14549706650348</v>
      </c>
      <c r="H78" s="357">
        <v>1181.0614505867354</v>
      </c>
      <c r="I78" s="356">
        <v>0.12459578758046187</v>
      </c>
      <c r="J78" s="356">
        <v>-5.7896363837214304E-2</v>
      </c>
      <c r="K78" s="359">
        <v>4.9663565599739057E-2</v>
      </c>
    </row>
    <row r="79" spans="2:11" hidden="1" outlineLevel="1">
      <c r="B79" s="355">
        <v>1987</v>
      </c>
      <c r="C79" s="356">
        <v>5.8127216418218712E-2</v>
      </c>
      <c r="D79" s="356">
        <v>5.7224999999999998E-2</v>
      </c>
      <c r="E79" s="356">
        <v>-4.9605089379262279E-2</v>
      </c>
      <c r="F79" s="357">
        <v>19455.07851889441</v>
      </c>
      <c r="G79" s="357">
        <v>815.27429813613423</v>
      </c>
      <c r="H79" s="357">
        <v>1122.4747917679792</v>
      </c>
      <c r="I79" s="356">
        <v>9.0221641821871396E-4</v>
      </c>
      <c r="J79" s="356">
        <v>0.107732305797481</v>
      </c>
      <c r="K79" s="359">
        <v>5.0693590437507208E-2</v>
      </c>
    </row>
    <row r="80" spans="2:11" hidden="1" outlineLevel="1">
      <c r="B80" s="355">
        <v>1988</v>
      </c>
      <c r="C80" s="356">
        <v>0.16537192812044688</v>
      </c>
      <c r="D80" s="356">
        <v>6.4499999999999988E-2</v>
      </c>
      <c r="E80" s="356">
        <v>8.2235958434841674E-2</v>
      </c>
      <c r="F80" s="357">
        <v>22672.402365298665</v>
      </c>
      <c r="G80" s="357">
        <v>867.85949036591489</v>
      </c>
      <c r="H80" s="357">
        <v>1214.7825820879684</v>
      </c>
      <c r="I80" s="356">
        <v>0.10087192812044689</v>
      </c>
      <c r="J80" s="356">
        <v>8.3135969685605202E-2</v>
      </c>
      <c r="K80" s="359">
        <v>5.1199933578993884E-2</v>
      </c>
    </row>
    <row r="81" spans="2:11" hidden="1" outlineLevel="1">
      <c r="B81" s="355">
        <v>1989</v>
      </c>
      <c r="C81" s="356">
        <v>0.31475183638196724</v>
      </c>
      <c r="D81" s="356">
        <v>8.1099999999999992E-2</v>
      </c>
      <c r="E81" s="356">
        <v>0.17693647159446219</v>
      </c>
      <c r="F81" s="357">
        <v>29808.582644967279</v>
      </c>
      <c r="G81" s="357">
        <v>938.24289503459056</v>
      </c>
      <c r="H81" s="357">
        <v>1429.7219259170236</v>
      </c>
      <c r="I81" s="356">
        <v>0.23365183638196724</v>
      </c>
      <c r="J81" s="356">
        <v>0.13781536478750506</v>
      </c>
      <c r="K81" s="359">
        <v>5.240982169336883E-2</v>
      </c>
    </row>
    <row r="82" spans="2:11" hidden="1" outlineLevel="1">
      <c r="B82" s="355">
        <v>1990</v>
      </c>
      <c r="C82" s="356">
        <v>-3.0644516129032118E-2</v>
      </c>
      <c r="D82" s="356">
        <v>7.5500000000000012E-2</v>
      </c>
      <c r="E82" s="356">
        <v>6.2353753335533363E-2</v>
      </c>
      <c r="F82" s="357">
        <v>28895.113053319994</v>
      </c>
      <c r="G82" s="357">
        <v>1009.0802336097021</v>
      </c>
      <c r="H82" s="357">
        <v>1518.8704542240573</v>
      </c>
      <c r="I82" s="356">
        <v>-0.10614451612903213</v>
      </c>
      <c r="J82" s="356">
        <v>-9.2998269464565478E-2</v>
      </c>
      <c r="K82" s="359">
        <v>4.9979953137364364E-2</v>
      </c>
    </row>
    <row r="83" spans="2:11" hidden="1" outlineLevel="1">
      <c r="B83" s="355">
        <v>1991</v>
      </c>
      <c r="C83" s="356">
        <v>0.30234843134879757</v>
      </c>
      <c r="D83" s="356">
        <v>5.6100000000000011E-2</v>
      </c>
      <c r="E83" s="356">
        <v>0.15004510019517303</v>
      </c>
      <c r="F83" s="357">
        <v>37631.505158637461</v>
      </c>
      <c r="G83" s="357">
        <v>1065.6896347152065</v>
      </c>
      <c r="H83" s="357">
        <v>1746.769523711594</v>
      </c>
      <c r="I83" s="356">
        <v>0.24624843134879756</v>
      </c>
      <c r="J83" s="356">
        <v>0.15230333115362454</v>
      </c>
      <c r="K83" s="359">
        <v>5.13850639844049E-2</v>
      </c>
    </row>
    <row r="84" spans="2:11" hidden="1" outlineLevel="1">
      <c r="B84" s="355">
        <v>1992</v>
      </c>
      <c r="C84" s="356">
        <v>7.493727972380064E-2</v>
      </c>
      <c r="D84" s="356">
        <v>3.4049999999999997E-2</v>
      </c>
      <c r="E84" s="356">
        <v>9.3616373162079422E-2</v>
      </c>
      <c r="F84" s="357">
        <v>40451.507787137925</v>
      </c>
      <c r="G84" s="357">
        <v>1101.976366777259</v>
      </c>
      <c r="H84" s="357">
        <v>1910.2957512715263</v>
      </c>
      <c r="I84" s="356">
        <v>4.0887279723800643E-2</v>
      </c>
      <c r="J84" s="356">
        <v>-1.8679093438278782E-2</v>
      </c>
      <c r="K84" s="359">
        <v>5.0319857010869606E-2</v>
      </c>
    </row>
    <row r="85" spans="2:11" hidden="1" outlineLevel="1">
      <c r="B85" s="355">
        <v>1993</v>
      </c>
      <c r="C85" s="356">
        <v>9.96705147919488E-2</v>
      </c>
      <c r="D85" s="356">
        <v>2.9825000000000001E-2</v>
      </c>
      <c r="E85" s="356">
        <v>0.14210957589263107</v>
      </c>
      <c r="F85" s="357">
        <v>44483.33039239249</v>
      </c>
      <c r="G85" s="357">
        <v>1134.8428119163907</v>
      </c>
      <c r="H85" s="357">
        <v>2181.7670703142176</v>
      </c>
      <c r="I85" s="356">
        <v>6.9845514791948796E-2</v>
      </c>
      <c r="J85" s="356">
        <v>-4.2439061100682268E-2</v>
      </c>
      <c r="K85" s="359">
        <v>4.8975937931758473E-2</v>
      </c>
    </row>
    <row r="86" spans="2:11" hidden="1" outlineLevel="1">
      <c r="B86" s="355">
        <v>1994</v>
      </c>
      <c r="C86" s="356">
        <v>1.3259206774573897E-2</v>
      </c>
      <c r="D86" s="356">
        <v>3.9850000000000003E-2</v>
      </c>
      <c r="E86" s="356">
        <v>-8.0366555509985921E-2</v>
      </c>
      <c r="F86" s="357">
        <v>45073.144068086905</v>
      </c>
      <c r="G86" s="357">
        <v>1180.0662979712588</v>
      </c>
      <c r="H86" s="357">
        <v>2006.4259659479505</v>
      </c>
      <c r="I86" s="356">
        <v>-2.6590793225426106E-2</v>
      </c>
      <c r="J86" s="356">
        <v>9.3625762284559821E-2</v>
      </c>
      <c r="K86" s="359">
        <v>4.9718636171719899E-2</v>
      </c>
    </row>
    <row r="87" spans="2:11" hidden="1" outlineLevel="1">
      <c r="B87" s="355">
        <v>1995</v>
      </c>
      <c r="C87" s="356">
        <v>0.37195198902606308</v>
      </c>
      <c r="D87" s="356">
        <v>5.5150000000000005E-2</v>
      </c>
      <c r="E87" s="356">
        <v>0.23480780112538907</v>
      </c>
      <c r="F87" s="357">
        <v>61838.189655870119</v>
      </c>
      <c r="G87" s="357">
        <v>1245.1469543043738</v>
      </c>
      <c r="H87" s="357">
        <v>2477.5504351330737</v>
      </c>
      <c r="I87" s="356">
        <v>0.31680198902606305</v>
      </c>
      <c r="J87" s="356">
        <v>0.13714418790067401</v>
      </c>
      <c r="K87" s="359">
        <v>5.0791451119413633E-2</v>
      </c>
    </row>
    <row r="88" spans="2:11" hidden="1" outlineLevel="1">
      <c r="B88" s="355">
        <v>1996</v>
      </c>
      <c r="C88" s="356">
        <v>0.22680966018865789</v>
      </c>
      <c r="D88" s="356">
        <v>5.0224999999999999E-2</v>
      </c>
      <c r="E88" s="356">
        <v>1.428607793401844E-2</v>
      </c>
      <c r="F88" s="357">
        <v>75863.688438399797</v>
      </c>
      <c r="G88" s="357">
        <v>1307.684460084311</v>
      </c>
      <c r="H88" s="357">
        <v>2512.9449137348461</v>
      </c>
      <c r="I88" s="356">
        <v>0.1765846601886579</v>
      </c>
      <c r="J88" s="356">
        <v>0.21252358225463946</v>
      </c>
      <c r="K88" s="359">
        <v>5.304503967737495E-2</v>
      </c>
    </row>
    <row r="89" spans="2:11" hidden="1" outlineLevel="1">
      <c r="B89" s="355">
        <v>1997</v>
      </c>
      <c r="C89" s="356">
        <v>0.33103653103653097</v>
      </c>
      <c r="D89" s="356">
        <v>5.0525E-2</v>
      </c>
      <c r="E89" s="356">
        <v>9.939130272977531E-2</v>
      </c>
      <c r="F89" s="357">
        <v>100977.34069068384</v>
      </c>
      <c r="G89" s="357">
        <v>1373.7552174300708</v>
      </c>
      <c r="H89" s="357">
        <v>2762.7097823991153</v>
      </c>
      <c r="I89" s="356">
        <v>0.28051153103653098</v>
      </c>
      <c r="J89" s="356">
        <v>0.23164522830675566</v>
      </c>
      <c r="K89" s="359">
        <v>5.5315584903303572E-2</v>
      </c>
    </row>
    <row r="90" spans="2:11" hidden="1" outlineLevel="1">
      <c r="B90" s="355">
        <v>1998</v>
      </c>
      <c r="C90" s="356">
        <v>0.28337953278443584</v>
      </c>
      <c r="D90" s="356">
        <v>4.7274999999999998E-2</v>
      </c>
      <c r="E90" s="356">
        <v>0.14921431922606215</v>
      </c>
      <c r="F90" s="357">
        <v>129592.25231742462</v>
      </c>
      <c r="G90" s="357">
        <v>1438.6994953340775</v>
      </c>
      <c r="H90" s="357">
        <v>3174.9456417989818</v>
      </c>
      <c r="I90" s="356">
        <v>0.23610453278443583</v>
      </c>
      <c r="J90" s="356">
        <v>0.13416521355837369</v>
      </c>
      <c r="K90" s="359">
        <v>5.6306048135548625E-2</v>
      </c>
    </row>
    <row r="91" spans="2:11" hidden="1" outlineLevel="1">
      <c r="B91" s="355">
        <v>1999</v>
      </c>
      <c r="C91" s="356">
        <v>0.20885350992084475</v>
      </c>
      <c r="D91" s="356">
        <v>4.5100000000000001E-2</v>
      </c>
      <c r="E91" s="356">
        <v>-8.2542147962685761E-2</v>
      </c>
      <c r="F91" s="357">
        <v>156658.0490724665</v>
      </c>
      <c r="G91" s="357">
        <v>1503.5848425736442</v>
      </c>
      <c r="H91" s="357">
        <v>2912.8788088601259</v>
      </c>
      <c r="I91" s="356">
        <v>0.16375350992084475</v>
      </c>
      <c r="J91" s="356">
        <v>0.2913956578835305</v>
      </c>
      <c r="K91" s="359">
        <v>5.9634694818320177E-2</v>
      </c>
    </row>
    <row r="92" spans="2:11" hidden="1" outlineLevel="1">
      <c r="B92" s="355">
        <v>2000</v>
      </c>
      <c r="C92" s="356">
        <v>-9.0318189552492781E-2</v>
      </c>
      <c r="D92" s="356">
        <v>5.7625000000000003E-2</v>
      </c>
      <c r="E92" s="356">
        <v>0.16655267125397488</v>
      </c>
      <c r="F92" s="357">
        <v>142508.97770141574</v>
      </c>
      <c r="G92" s="357">
        <v>1590.2289191269506</v>
      </c>
      <c r="H92" s="357">
        <v>3398.0265555148762</v>
      </c>
      <c r="I92" s="356">
        <v>-0.14794318955249278</v>
      </c>
      <c r="J92" s="356">
        <v>-0.25687086080646765</v>
      </c>
      <c r="K92" s="359">
        <v>5.5111895842923087E-2</v>
      </c>
    </row>
    <row r="93" spans="2:11" hidden="1" outlineLevel="1">
      <c r="B93" s="355">
        <v>2001</v>
      </c>
      <c r="C93" s="356">
        <v>-0.11849759142000185</v>
      </c>
      <c r="D93" s="356">
        <v>3.6725000000000001E-2</v>
      </c>
      <c r="E93" s="356">
        <v>5.5721811892492555E-2</v>
      </c>
      <c r="F93" s="357">
        <v>125622.00708807123</v>
      </c>
      <c r="G93" s="357">
        <v>1648.6300761818877</v>
      </c>
      <c r="H93" s="357">
        <v>3587.3707520469702</v>
      </c>
      <c r="I93" s="356">
        <v>-0.15522259142000186</v>
      </c>
      <c r="J93" s="356">
        <v>-0.17421940331249441</v>
      </c>
      <c r="K93" s="359">
        <v>5.1665345512908356E-2</v>
      </c>
    </row>
    <row r="94" spans="2:11" hidden="1" outlineLevel="1">
      <c r="B94" s="355">
        <v>2002</v>
      </c>
      <c r="C94" s="356">
        <v>-0.21966047957912699</v>
      </c>
      <c r="D94" s="356">
        <v>1.6574999999999999E-2</v>
      </c>
      <c r="E94" s="356">
        <v>0.15116400378109285</v>
      </c>
      <c r="F94" s="357">
        <v>98027.816765413008</v>
      </c>
      <c r="G94" s="357">
        <v>1675.9561196946024</v>
      </c>
      <c r="H94" s="357">
        <v>4129.6520779735802</v>
      </c>
      <c r="I94" s="356">
        <v>-0.23623547957912699</v>
      </c>
      <c r="J94" s="356">
        <v>-0.37082448336021984</v>
      </c>
      <c r="K94" s="359">
        <v>4.5325449773477855E-2</v>
      </c>
    </row>
    <row r="95" spans="2:11" hidden="1" outlineLevel="1">
      <c r="B95" s="355">
        <v>2003</v>
      </c>
      <c r="C95" s="356">
        <v>0.28355800050010233</v>
      </c>
      <c r="D95" s="356">
        <v>1.03E-2</v>
      </c>
      <c r="E95" s="356">
        <v>3.7531858817758529E-3</v>
      </c>
      <c r="F95" s="357">
        <v>125824.38848080393</v>
      </c>
      <c r="G95" s="357">
        <v>1693.2184677274568</v>
      </c>
      <c r="H95" s="357">
        <v>4145.1514298492766</v>
      </c>
      <c r="I95" s="356">
        <v>0.27325800050010235</v>
      </c>
      <c r="J95" s="356">
        <v>0.27980481461832646</v>
      </c>
      <c r="K95" s="359">
        <v>4.8237796117156506E-2</v>
      </c>
    </row>
    <row r="96" spans="2:11" hidden="1" outlineLevel="1">
      <c r="B96" s="355">
        <v>2004</v>
      </c>
      <c r="C96" s="356">
        <v>0.10742775944096193</v>
      </c>
      <c r="D96" s="356">
        <v>1.2275000000000001E-2</v>
      </c>
      <c r="E96" s="356">
        <v>4.490683702274547E-2</v>
      </c>
      <c r="F96" s="357">
        <v>139341.42061832585</v>
      </c>
      <c r="G96" s="357">
        <v>1714.0027244188113</v>
      </c>
      <c r="H96" s="357">
        <v>4331.2970695441181</v>
      </c>
      <c r="I96" s="356">
        <v>9.5152759440961937E-2</v>
      </c>
      <c r="J96" s="356">
        <v>6.2520922418216468E-2</v>
      </c>
      <c r="K96" s="359">
        <v>4.842299846885445E-2</v>
      </c>
    </row>
    <row r="97" spans="2:11" hidden="1" outlineLevel="1">
      <c r="B97" s="355">
        <v>2005</v>
      </c>
      <c r="C97" s="356">
        <v>4.8344775232688535E-2</v>
      </c>
      <c r="D97" s="356">
        <v>3.0099999999999998E-2</v>
      </c>
      <c r="E97" s="356">
        <v>2.8675329597779506E-2</v>
      </c>
      <c r="F97" s="357">
        <v>146077.8502787223</v>
      </c>
      <c r="G97" s="357">
        <v>1765.5942064238177</v>
      </c>
      <c r="H97" s="357">
        <v>4455.4984405991927</v>
      </c>
      <c r="I97" s="356">
        <v>1.8244775232688536E-2</v>
      </c>
      <c r="J97" s="356">
        <v>1.9669445634909029E-2</v>
      </c>
      <c r="K97" s="359">
        <v>4.8042189402255131E-2</v>
      </c>
    </row>
    <row r="98" spans="2:11" hidden="1" outlineLevel="1">
      <c r="B98" s="355">
        <v>2006</v>
      </c>
      <c r="C98" s="356">
        <v>0.15612557979315703</v>
      </c>
      <c r="D98" s="356">
        <v>4.6775000000000004E-2</v>
      </c>
      <c r="E98" s="356">
        <v>1.9610012417568386E-2</v>
      </c>
      <c r="F98" s="357">
        <v>168884.33934842583</v>
      </c>
      <c r="G98" s="357">
        <v>1848.1798754292918</v>
      </c>
      <c r="H98" s="357">
        <v>4542.8708203458</v>
      </c>
      <c r="I98" s="356">
        <v>0.10935057979315702</v>
      </c>
      <c r="J98" s="356">
        <v>0.13651556737558865</v>
      </c>
      <c r="K98" s="359">
        <v>4.9149036004805913E-2</v>
      </c>
    </row>
    <row r="99" spans="2:11" hidden="1" outlineLevel="1">
      <c r="B99" s="355">
        <v>2007</v>
      </c>
      <c r="C99" s="356">
        <v>5.4847352464217694E-2</v>
      </c>
      <c r="D99" s="356">
        <v>4.6425000000000001E-2</v>
      </c>
      <c r="E99" s="356">
        <v>0.10209921930012807</v>
      </c>
      <c r="F99" s="357">
        <v>178147.19823435548</v>
      </c>
      <c r="G99" s="357">
        <v>1933.9816261460965</v>
      </c>
      <c r="H99" s="357">
        <v>5006.6943844844382</v>
      </c>
      <c r="I99" s="356">
        <v>8.4223524642176931E-3</v>
      </c>
      <c r="J99" s="356">
        <v>-4.7251866835910372E-2</v>
      </c>
      <c r="K99" s="359">
        <v>4.7948712238125024E-2</v>
      </c>
    </row>
    <row r="100" spans="2:11" hidden="1" outlineLevel="1">
      <c r="B100" s="355">
        <v>2008</v>
      </c>
      <c r="C100" s="356">
        <v>-0.36552344111798191</v>
      </c>
      <c r="D100" s="356">
        <v>1.585E-2</v>
      </c>
      <c r="E100" s="356">
        <v>0.20101279926977011</v>
      </c>
      <c r="F100" s="357">
        <v>113030.22131020659</v>
      </c>
      <c r="G100" s="357">
        <v>1964.6352349205119</v>
      </c>
      <c r="H100" s="357">
        <v>6013.1040377978934</v>
      </c>
      <c r="I100" s="356">
        <v>-0.38137344111798188</v>
      </c>
      <c r="J100" s="356">
        <v>-0.56653624038775208</v>
      </c>
      <c r="K100" s="359">
        <v>3.8795868868689798E-2</v>
      </c>
    </row>
    <row r="101" spans="2:11" hidden="1" outlineLevel="1">
      <c r="B101" s="355">
        <v>2009</v>
      </c>
      <c r="C101" s="356">
        <v>0.25935233877663982</v>
      </c>
      <c r="D101" s="356">
        <v>1.3500000000000001E-3</v>
      </c>
      <c r="E101" s="356">
        <v>-0.11116695313259162</v>
      </c>
      <c r="F101" s="357">
        <v>142344.87355944986</v>
      </c>
      <c r="G101" s="357">
        <v>1967.2874924876546</v>
      </c>
      <c r="H101" s="357">
        <v>5344.6455830466175</v>
      </c>
      <c r="I101" s="356">
        <v>0.25800233877663981</v>
      </c>
      <c r="J101" s="356">
        <v>0.37051929190923144</v>
      </c>
      <c r="K101" s="359">
        <v>4.2868506133348472E-2</v>
      </c>
    </row>
    <row r="102" spans="2:11" hidden="1" outlineLevel="1">
      <c r="B102" s="355">
        <v>2010</v>
      </c>
      <c r="C102" s="356">
        <v>0.14821092278719414</v>
      </c>
      <c r="D102" s="356">
        <v>1.2999999999999999E-3</v>
      </c>
      <c r="E102" s="356">
        <v>8.4629338803557719E-2</v>
      </c>
      <c r="F102" s="357">
        <v>163441.93862372241</v>
      </c>
      <c r="G102" s="357">
        <v>1969.8449662278888</v>
      </c>
      <c r="H102" s="357">
        <v>5796.9594048792078</v>
      </c>
      <c r="I102" s="356">
        <v>0.14691092278719414</v>
      </c>
      <c r="J102" s="356">
        <v>6.3581583983636419E-2</v>
      </c>
      <c r="K102" s="359">
        <v>4.3108516433475463E-2</v>
      </c>
    </row>
    <row r="103" spans="2:11" hidden="1" outlineLevel="1">
      <c r="B103" s="355">
        <v>2011</v>
      </c>
      <c r="C103" s="356">
        <v>2.09837473362805E-2</v>
      </c>
      <c r="D103" s="356">
        <v>2.9999999999999997E-4</v>
      </c>
      <c r="E103" s="356">
        <v>0.16035334999461354</v>
      </c>
      <c r="F103" s="357">
        <v>166871.56296795449</v>
      </c>
      <c r="G103" s="357">
        <v>1970.4359197177571</v>
      </c>
      <c r="H103" s="357">
        <v>6726.5212652343698</v>
      </c>
      <c r="I103" s="356">
        <v>2.0683747336280499E-2</v>
      </c>
      <c r="J103" s="356">
        <v>-0.13936960265833304</v>
      </c>
      <c r="K103" s="359">
        <v>4.0970429004248521E-2</v>
      </c>
    </row>
    <row r="104" spans="2:11" hidden="1" outlineLevel="1">
      <c r="B104" s="355">
        <v>2012</v>
      </c>
      <c r="C104" s="356">
        <v>0.15890585241730293</v>
      </c>
      <c r="D104" s="356">
        <v>5.0000000000000001E-4</v>
      </c>
      <c r="E104" s="356">
        <v>2.971571978018946E-2</v>
      </c>
      <c r="F104" s="357">
        <v>193388.43092558492</v>
      </c>
      <c r="G104" s="357">
        <v>1971.4211376776159</v>
      </c>
      <c r="H104" s="357">
        <v>6926.4046862475598</v>
      </c>
      <c r="I104" s="356">
        <v>0.15840585241730293</v>
      </c>
      <c r="J104" s="356">
        <v>0.12919013263711346</v>
      </c>
      <c r="K104" s="359">
        <v>4.1988275684727405E-2</v>
      </c>
    </row>
    <row r="105" spans="2:11" hidden="1" outlineLevel="1">
      <c r="B105" s="355">
        <v>2013</v>
      </c>
      <c r="C105" s="356">
        <v>0.32145085858125483</v>
      </c>
      <c r="D105" s="356">
        <v>6.6E-4</v>
      </c>
      <c r="E105" s="356">
        <v>-9.104568794347262E-2</v>
      </c>
      <c r="F105" s="357">
        <v>255553.30808629587</v>
      </c>
      <c r="G105" s="357">
        <v>1972.7222756284834</v>
      </c>
      <c r="H105" s="357">
        <v>6295.7854066132577</v>
      </c>
      <c r="I105" s="356">
        <v>0.32079085858125483</v>
      </c>
      <c r="J105" s="356">
        <v>0.41249654652472745</v>
      </c>
      <c r="K105" s="359">
        <v>4.6176809418723153E-2</v>
      </c>
    </row>
    <row r="106" spans="2:11" hidden="1" outlineLevel="1">
      <c r="B106" s="355">
        <v>2014</v>
      </c>
      <c r="C106" s="356">
        <v>0.13524421649462237</v>
      </c>
      <c r="D106" s="356">
        <v>5.2999999999999998E-4</v>
      </c>
      <c r="E106" s="356">
        <v>0.10746180452004755</v>
      </c>
      <c r="F106" s="357">
        <v>290115.4150110358</v>
      </c>
      <c r="G106" s="357">
        <v>1973.7678184345664</v>
      </c>
      <c r="H106" s="357">
        <v>6972.3418672788994</v>
      </c>
      <c r="I106" s="356">
        <v>0.13471421649462237</v>
      </c>
      <c r="J106" s="356">
        <v>2.7782411974574817E-2</v>
      </c>
      <c r="K106" s="359">
        <v>4.5975029375833421E-2</v>
      </c>
    </row>
    <row r="107" spans="2:11" hidden="1" outlineLevel="1">
      <c r="B107" s="360">
        <v>2015</v>
      </c>
      <c r="C107" s="356">
        <v>1.3599494875904609E-2</v>
      </c>
      <c r="D107" s="361">
        <v>2.0999999999999999E-3</v>
      </c>
      <c r="E107" s="356">
        <v>1.2842996709792224E-2</v>
      </c>
      <c r="F107" s="357">
        <v>294060.83811089932</v>
      </c>
      <c r="G107" s="357">
        <v>1977.9127308532788</v>
      </c>
      <c r="H107" s="357">
        <v>7061.8876309399093</v>
      </c>
      <c r="I107" s="356">
        <v>1.149949487590461E-2</v>
      </c>
      <c r="J107" s="356">
        <v>7.5649816611238554E-4</v>
      </c>
      <c r="K107" s="359">
        <v>4.543213214629449E-2</v>
      </c>
    </row>
    <row r="108" spans="2:11" collapsed="1">
      <c r="G108" s="1644" t="s">
        <v>295</v>
      </c>
      <c r="H108" s="1645"/>
      <c r="I108" s="1646" t="s">
        <v>296</v>
      </c>
      <c r="J108" s="1646"/>
    </row>
    <row r="109" spans="2:11">
      <c r="B109" s="362" t="s">
        <v>297</v>
      </c>
      <c r="C109" s="363"/>
      <c r="D109" s="363"/>
      <c r="E109" s="363"/>
      <c r="G109" s="364" t="s">
        <v>298</v>
      </c>
      <c r="H109" s="364" t="s">
        <v>299</v>
      </c>
      <c r="I109" s="364" t="s">
        <v>298</v>
      </c>
      <c r="J109" s="364" t="s">
        <v>299</v>
      </c>
    </row>
    <row r="110" spans="2:11">
      <c r="B110" s="355" t="s">
        <v>300</v>
      </c>
      <c r="C110" s="356">
        <f>AVERAGE(C20:C107)</f>
        <v>0.11411999847221134</v>
      </c>
      <c r="D110" s="356">
        <f>AVERAGE(D20:D107)</f>
        <v>3.4938806818181817E-2</v>
      </c>
      <c r="E110" s="356">
        <f>AVERAGE(E20:E107)</f>
        <v>5.2312982394253658E-2</v>
      </c>
      <c r="G110" s="365">
        <f>C110-D110</f>
        <v>7.9181191654029523E-2</v>
      </c>
      <c r="H110" s="365">
        <f>C110-E110</f>
        <v>6.1807016077957681E-2</v>
      </c>
      <c r="I110" s="365">
        <f>STDEV(I20:I107)/(($B$107-$B$20+1)^0.5)</f>
        <v>2.145837352247254E-2</v>
      </c>
      <c r="J110" s="365">
        <f>STDEV(J20:J107)/(($B$107-$B$20+1)^0.5)</f>
        <v>2.2896640567021138E-2</v>
      </c>
    </row>
    <row r="111" spans="2:11">
      <c r="B111" s="355" t="s">
        <v>301</v>
      </c>
      <c r="C111" s="356">
        <f>AVERAGE(C58:C107)</f>
        <v>0.11013278061555459</v>
      </c>
      <c r="D111" s="356">
        <f>AVERAGE(D58:D107)</f>
        <v>4.9665299999999996E-2</v>
      </c>
      <c r="E111" s="356">
        <f>AVERAGE(E58:E107)</f>
        <v>7.1239879348670557E-2</v>
      </c>
      <c r="G111" s="365">
        <f>C111-D111</f>
        <v>6.0467480615554597E-2</v>
      </c>
      <c r="H111" s="365">
        <f>C111-E111</f>
        <v>3.8892901266884036E-2</v>
      </c>
      <c r="I111" s="365">
        <f>STDEV(I58:I107)/(($B$107-$B$58+1)^0.5)</f>
        <v>2.4244244738585108E-2</v>
      </c>
      <c r="J111" s="365">
        <f>STDEV(J58:J107)/(($B$107-$B$58+1)^0.5)</f>
        <v>2.7385586705666348E-2</v>
      </c>
    </row>
    <row r="112" spans="2:11">
      <c r="B112" s="355" t="s">
        <v>302</v>
      </c>
      <c r="C112" s="356">
        <f>AVERAGE(C98:C107)</f>
        <v>9.0319692240859201E-2</v>
      </c>
      <c r="D112" s="356">
        <f>AVERAGE(D98:D107)</f>
        <v>1.1579000000000001E-2</v>
      </c>
      <c r="E112" s="356">
        <f>AVERAGE(E98:E107)</f>
        <v>5.1551259971960285E-2</v>
      </c>
      <c r="G112" s="365">
        <f>C112-D112</f>
        <v>7.8740692240859195E-2</v>
      </c>
      <c r="H112" s="365">
        <f>C112-E112</f>
        <v>3.8768432268898916E-2</v>
      </c>
      <c r="I112" s="365">
        <f>STDEV(I98:I107)/(($B$107-$B$98+1)^0.5)</f>
        <v>6.0583130376220221E-2</v>
      </c>
      <c r="J112" s="365">
        <f>STDEV(J98:J107)/(($B$107-$B$98+1)^0.5)</f>
        <v>8.6613420369947694E-2</v>
      </c>
    </row>
    <row r="113" spans="2:8">
      <c r="G113" s="366" t="s">
        <v>295</v>
      </c>
    </row>
    <row r="114" spans="2:8">
      <c r="B114" s="367" t="s">
        <v>303</v>
      </c>
      <c r="G114" s="364" t="s">
        <v>298</v>
      </c>
      <c r="H114" s="364" t="s">
        <v>299</v>
      </c>
    </row>
    <row r="115" spans="2:8">
      <c r="B115" s="355" t="s">
        <v>300</v>
      </c>
      <c r="C115" s="368">
        <f>(F107/100)^(1/(B107-B20+1))-1</f>
        <v>9.4999848238614071E-2</v>
      </c>
      <c r="D115" s="368">
        <f>(G107/100)^(1/(B107-B20+1))-1</f>
        <v>3.449793104232679E-2</v>
      </c>
      <c r="E115" s="368">
        <f>(H107/100)^(1/(B107-B20+1))-1</f>
        <v>4.956771609231958E-2</v>
      </c>
      <c r="G115" s="365">
        <f>C115-D115</f>
        <v>6.050191719628728E-2</v>
      </c>
      <c r="H115" s="1586">
        <f>C115-E115</f>
        <v>4.543213214629449E-2</v>
      </c>
    </row>
    <row r="116" spans="2:8">
      <c r="B116" s="355" t="s">
        <v>301</v>
      </c>
      <c r="C116" s="368">
        <f>(F107/F57)^(1/($B$107-$B$57))-1</f>
        <v>9.6105862866443292E-2</v>
      </c>
      <c r="D116" s="368">
        <f>(G107/G57)^(1/($B$107-$B$57))-1</f>
        <v>4.9188704306527331E-2</v>
      </c>
      <c r="E116" s="368">
        <f>(H107/H57)^(1/($B$107-$B$57))-1</f>
        <v>6.7106868631679806E-2</v>
      </c>
      <c r="G116" s="365">
        <f>C116-D116</f>
        <v>4.6917158559915961E-2</v>
      </c>
      <c r="H116" s="365">
        <f>C116-E116</f>
        <v>2.8998994234763487E-2</v>
      </c>
    </row>
    <row r="117" spans="2:8">
      <c r="B117" s="355" t="s">
        <v>302</v>
      </c>
      <c r="C117" s="368">
        <f>(F107/F97)^(1/($B$107-$B$97))-1</f>
        <v>7.2470319981030373E-2</v>
      </c>
      <c r="D117" s="368">
        <f>(G107/G97)^(1/($B$107-$B$97))-1</f>
        <v>1.142019999443078E-2</v>
      </c>
      <c r="E117" s="368">
        <f>(H107/H97)^(1/($B$107-$B$97))-1</f>
        <v>4.7134456900344901E-2</v>
      </c>
      <c r="G117" s="365">
        <f>C117-D117</f>
        <v>6.1050119986599594E-2</v>
      </c>
      <c r="H117" s="365">
        <f>C117-E117</f>
        <v>2.5335863080685472E-2</v>
      </c>
    </row>
  </sheetData>
  <mergeCells count="10">
    <mergeCell ref="C7:H7"/>
    <mergeCell ref="C8:H8"/>
    <mergeCell ref="G108:H108"/>
    <mergeCell ref="I108:J108"/>
    <mergeCell ref="C2:H2"/>
    <mergeCell ref="C3:H3"/>
    <mergeCell ref="C4:F4"/>
    <mergeCell ref="G4:H4"/>
    <mergeCell ref="C5:H5"/>
    <mergeCell ref="C6:H6"/>
  </mergeCells>
  <hyperlinks>
    <hyperlink ref="C8" r:id="rId1"/>
    <hyperlink ref="C7" r:id="rId2"/>
    <hyperlink ref="C6" r:id="rId3"/>
    <hyperlink ref="C5" r:id="rId4"/>
    <hyperlink ref="C3" r:id="rId5"/>
  </hyperlinks>
  <printOptions gridLinesSet="0"/>
  <pageMargins left="0.75" right="0.75" top="1" bottom="1" header="0.5" footer="0.5"/>
  <pageSetup orientation="portrait" horizontalDpi="4294967292" verticalDpi="4294967292"/>
  <headerFooter alignWithMargins="0">
    <oddHeader>&amp;A</oddHeader>
    <oddFooter>Page &amp;P</oddFooter>
  </headerFooter>
  <legacyDrawing r:id="rId6"/>
  <tableParts count="1">
    <tablePart r:id="rId7"/>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theme="6" tint="-0.249977111117893"/>
  </sheetPr>
  <dimension ref="A1:U272"/>
  <sheetViews>
    <sheetView showGridLines="0" zoomScale="90" zoomScaleNormal="90" workbookViewId="0">
      <pane ySplit="181" topLeftCell="A246" activePane="bottomLeft" state="frozen"/>
      <selection activeCell="J118" sqref="J118"/>
      <selection pane="bottomLeft" activeCell="C251" sqref="C251"/>
    </sheetView>
  </sheetViews>
  <sheetFormatPr baseColWidth="10" defaultColWidth="9.140625" defaultRowHeight="12.75"/>
  <cols>
    <col min="1" max="1" width="3.140625" style="369" customWidth="1"/>
    <col min="2" max="2" width="14.7109375" style="369" customWidth="1"/>
    <col min="3" max="3" width="11.140625" style="369" customWidth="1"/>
    <col min="4" max="4" width="11.28515625" style="369" customWidth="1"/>
    <col min="5" max="7" width="11" style="369" customWidth="1"/>
    <col min="8" max="8" width="11.85546875" style="369" customWidth="1"/>
    <col min="9" max="9" width="11.28515625" style="369" customWidth="1"/>
    <col min="10" max="10" width="12.140625" style="369" customWidth="1"/>
    <col min="11" max="11" width="2.7109375" style="369" customWidth="1"/>
    <col min="12" max="12" width="15.42578125" style="369" customWidth="1"/>
    <col min="13" max="13" width="13.5703125" style="369" customWidth="1"/>
    <col min="14" max="14" width="3.85546875" style="369" customWidth="1"/>
    <col min="15" max="17" width="15.7109375" style="369" customWidth="1"/>
    <col min="18" max="18" width="17.7109375" style="369" customWidth="1"/>
    <col min="19" max="256" width="9.140625" style="369"/>
    <col min="257" max="257" width="3.140625" style="369" customWidth="1"/>
    <col min="258" max="258" width="14.7109375" style="369" customWidth="1"/>
    <col min="259" max="259" width="11.140625" style="369" customWidth="1"/>
    <col min="260" max="260" width="11.28515625" style="369" customWidth="1"/>
    <col min="261" max="263" width="11" style="369" customWidth="1"/>
    <col min="264" max="264" width="11.85546875" style="369" customWidth="1"/>
    <col min="265" max="265" width="11.28515625" style="369" customWidth="1"/>
    <col min="266" max="266" width="12.140625" style="369" customWidth="1"/>
    <col min="267" max="267" width="2.7109375" style="369" customWidth="1"/>
    <col min="268" max="268" width="15.42578125" style="369" customWidth="1"/>
    <col min="269" max="269" width="13.5703125" style="369" customWidth="1"/>
    <col min="270" max="270" width="3.85546875" style="369" customWidth="1"/>
    <col min="271" max="273" width="15.7109375" style="369" customWidth="1"/>
    <col min="274" max="274" width="17.7109375" style="369" customWidth="1"/>
    <col min="275" max="512" width="9.140625" style="369"/>
    <col min="513" max="513" width="3.140625" style="369" customWidth="1"/>
    <col min="514" max="514" width="14.7109375" style="369" customWidth="1"/>
    <col min="515" max="515" width="11.140625" style="369" customWidth="1"/>
    <col min="516" max="516" width="11.28515625" style="369" customWidth="1"/>
    <col min="517" max="519" width="11" style="369" customWidth="1"/>
    <col min="520" max="520" width="11.85546875" style="369" customWidth="1"/>
    <col min="521" max="521" width="11.28515625" style="369" customWidth="1"/>
    <col min="522" max="522" width="12.140625" style="369" customWidth="1"/>
    <col min="523" max="523" width="2.7109375" style="369" customWidth="1"/>
    <col min="524" max="524" width="15.42578125" style="369" customWidth="1"/>
    <col min="525" max="525" width="13.5703125" style="369" customWidth="1"/>
    <col min="526" max="526" width="3.85546875" style="369" customWidth="1"/>
    <col min="527" max="529" width="15.7109375" style="369" customWidth="1"/>
    <col min="530" max="530" width="17.7109375" style="369" customWidth="1"/>
    <col min="531" max="768" width="9.140625" style="369"/>
    <col min="769" max="769" width="3.140625" style="369" customWidth="1"/>
    <col min="770" max="770" width="14.7109375" style="369" customWidth="1"/>
    <col min="771" max="771" width="11.140625" style="369" customWidth="1"/>
    <col min="772" max="772" width="11.28515625" style="369" customWidth="1"/>
    <col min="773" max="775" width="11" style="369" customWidth="1"/>
    <col min="776" max="776" width="11.85546875" style="369" customWidth="1"/>
    <col min="777" max="777" width="11.28515625" style="369" customWidth="1"/>
    <col min="778" max="778" width="12.140625" style="369" customWidth="1"/>
    <col min="779" max="779" width="2.7109375" style="369" customWidth="1"/>
    <col min="780" max="780" width="15.42578125" style="369" customWidth="1"/>
    <col min="781" max="781" width="13.5703125" style="369" customWidth="1"/>
    <col min="782" max="782" width="3.85546875" style="369" customWidth="1"/>
    <col min="783" max="785" width="15.7109375" style="369" customWidth="1"/>
    <col min="786" max="786" width="17.7109375" style="369" customWidth="1"/>
    <col min="787" max="1024" width="9.140625" style="369"/>
    <col min="1025" max="1025" width="3.140625" style="369" customWidth="1"/>
    <col min="1026" max="1026" width="14.7109375" style="369" customWidth="1"/>
    <col min="1027" max="1027" width="11.140625" style="369" customWidth="1"/>
    <col min="1028" max="1028" width="11.28515625" style="369" customWidth="1"/>
    <col min="1029" max="1031" width="11" style="369" customWidth="1"/>
    <col min="1032" max="1032" width="11.85546875" style="369" customWidth="1"/>
    <col min="1033" max="1033" width="11.28515625" style="369" customWidth="1"/>
    <col min="1034" max="1034" width="12.140625" style="369" customWidth="1"/>
    <col min="1035" max="1035" width="2.7109375" style="369" customWidth="1"/>
    <col min="1036" max="1036" width="15.42578125" style="369" customWidth="1"/>
    <col min="1037" max="1037" width="13.5703125" style="369" customWidth="1"/>
    <col min="1038" max="1038" width="3.85546875" style="369" customWidth="1"/>
    <col min="1039" max="1041" width="15.7109375" style="369" customWidth="1"/>
    <col min="1042" max="1042" width="17.7109375" style="369" customWidth="1"/>
    <col min="1043" max="1280" width="9.140625" style="369"/>
    <col min="1281" max="1281" width="3.140625" style="369" customWidth="1"/>
    <col min="1282" max="1282" width="14.7109375" style="369" customWidth="1"/>
    <col min="1283" max="1283" width="11.140625" style="369" customWidth="1"/>
    <col min="1284" max="1284" width="11.28515625" style="369" customWidth="1"/>
    <col min="1285" max="1287" width="11" style="369" customWidth="1"/>
    <col min="1288" max="1288" width="11.85546875" style="369" customWidth="1"/>
    <col min="1289" max="1289" width="11.28515625" style="369" customWidth="1"/>
    <col min="1290" max="1290" width="12.140625" style="369" customWidth="1"/>
    <col min="1291" max="1291" width="2.7109375" style="369" customWidth="1"/>
    <col min="1292" max="1292" width="15.42578125" style="369" customWidth="1"/>
    <col min="1293" max="1293" width="13.5703125" style="369" customWidth="1"/>
    <col min="1294" max="1294" width="3.85546875" style="369" customWidth="1"/>
    <col min="1295" max="1297" width="15.7109375" style="369" customWidth="1"/>
    <col min="1298" max="1298" width="17.7109375" style="369" customWidth="1"/>
    <col min="1299" max="1536" width="9.140625" style="369"/>
    <col min="1537" max="1537" width="3.140625" style="369" customWidth="1"/>
    <col min="1538" max="1538" width="14.7109375" style="369" customWidth="1"/>
    <col min="1539" max="1539" width="11.140625" style="369" customWidth="1"/>
    <col min="1540" max="1540" width="11.28515625" style="369" customWidth="1"/>
    <col min="1541" max="1543" width="11" style="369" customWidth="1"/>
    <col min="1544" max="1544" width="11.85546875" style="369" customWidth="1"/>
    <col min="1545" max="1545" width="11.28515625" style="369" customWidth="1"/>
    <col min="1546" max="1546" width="12.140625" style="369" customWidth="1"/>
    <col min="1547" max="1547" width="2.7109375" style="369" customWidth="1"/>
    <col min="1548" max="1548" width="15.42578125" style="369" customWidth="1"/>
    <col min="1549" max="1549" width="13.5703125" style="369" customWidth="1"/>
    <col min="1550" max="1550" width="3.85546875" style="369" customWidth="1"/>
    <col min="1551" max="1553" width="15.7109375" style="369" customWidth="1"/>
    <col min="1554" max="1554" width="17.7109375" style="369" customWidth="1"/>
    <col min="1555" max="1792" width="9.140625" style="369"/>
    <col min="1793" max="1793" width="3.140625" style="369" customWidth="1"/>
    <col min="1794" max="1794" width="14.7109375" style="369" customWidth="1"/>
    <col min="1795" max="1795" width="11.140625" style="369" customWidth="1"/>
    <col min="1796" max="1796" width="11.28515625" style="369" customWidth="1"/>
    <col min="1797" max="1799" width="11" style="369" customWidth="1"/>
    <col min="1800" max="1800" width="11.85546875" style="369" customWidth="1"/>
    <col min="1801" max="1801" width="11.28515625" style="369" customWidth="1"/>
    <col min="1802" max="1802" width="12.140625" style="369" customWidth="1"/>
    <col min="1803" max="1803" width="2.7109375" style="369" customWidth="1"/>
    <col min="1804" max="1804" width="15.42578125" style="369" customWidth="1"/>
    <col min="1805" max="1805" width="13.5703125" style="369" customWidth="1"/>
    <col min="1806" max="1806" width="3.85546875" style="369" customWidth="1"/>
    <col min="1807" max="1809" width="15.7109375" style="369" customWidth="1"/>
    <col min="1810" max="1810" width="17.7109375" style="369" customWidth="1"/>
    <col min="1811" max="2048" width="9.140625" style="369"/>
    <col min="2049" max="2049" width="3.140625" style="369" customWidth="1"/>
    <col min="2050" max="2050" width="14.7109375" style="369" customWidth="1"/>
    <col min="2051" max="2051" width="11.140625" style="369" customWidth="1"/>
    <col min="2052" max="2052" width="11.28515625" style="369" customWidth="1"/>
    <col min="2053" max="2055" width="11" style="369" customWidth="1"/>
    <col min="2056" max="2056" width="11.85546875" style="369" customWidth="1"/>
    <col min="2057" max="2057" width="11.28515625" style="369" customWidth="1"/>
    <col min="2058" max="2058" width="12.140625" style="369" customWidth="1"/>
    <col min="2059" max="2059" width="2.7109375" style="369" customWidth="1"/>
    <col min="2060" max="2060" width="15.42578125" style="369" customWidth="1"/>
    <col min="2061" max="2061" width="13.5703125" style="369" customWidth="1"/>
    <col min="2062" max="2062" width="3.85546875" style="369" customWidth="1"/>
    <col min="2063" max="2065" width="15.7109375" style="369" customWidth="1"/>
    <col min="2066" max="2066" width="17.7109375" style="369" customWidth="1"/>
    <col min="2067" max="2304" width="9.140625" style="369"/>
    <col min="2305" max="2305" width="3.140625" style="369" customWidth="1"/>
    <col min="2306" max="2306" width="14.7109375" style="369" customWidth="1"/>
    <col min="2307" max="2307" width="11.140625" style="369" customWidth="1"/>
    <col min="2308" max="2308" width="11.28515625" style="369" customWidth="1"/>
    <col min="2309" max="2311" width="11" style="369" customWidth="1"/>
    <col min="2312" max="2312" width="11.85546875" style="369" customWidth="1"/>
    <col min="2313" max="2313" width="11.28515625" style="369" customWidth="1"/>
    <col min="2314" max="2314" width="12.140625" style="369" customWidth="1"/>
    <col min="2315" max="2315" width="2.7109375" style="369" customWidth="1"/>
    <col min="2316" max="2316" width="15.42578125" style="369" customWidth="1"/>
    <col min="2317" max="2317" width="13.5703125" style="369" customWidth="1"/>
    <col min="2318" max="2318" width="3.85546875" style="369" customWidth="1"/>
    <col min="2319" max="2321" width="15.7109375" style="369" customWidth="1"/>
    <col min="2322" max="2322" width="17.7109375" style="369" customWidth="1"/>
    <col min="2323" max="2560" width="9.140625" style="369"/>
    <col min="2561" max="2561" width="3.140625" style="369" customWidth="1"/>
    <col min="2562" max="2562" width="14.7109375" style="369" customWidth="1"/>
    <col min="2563" max="2563" width="11.140625" style="369" customWidth="1"/>
    <col min="2564" max="2564" width="11.28515625" style="369" customWidth="1"/>
    <col min="2565" max="2567" width="11" style="369" customWidth="1"/>
    <col min="2568" max="2568" width="11.85546875" style="369" customWidth="1"/>
    <col min="2569" max="2569" width="11.28515625" style="369" customWidth="1"/>
    <col min="2570" max="2570" width="12.140625" style="369" customWidth="1"/>
    <col min="2571" max="2571" width="2.7109375" style="369" customWidth="1"/>
    <col min="2572" max="2572" width="15.42578125" style="369" customWidth="1"/>
    <col min="2573" max="2573" width="13.5703125" style="369" customWidth="1"/>
    <col min="2574" max="2574" width="3.85546875" style="369" customWidth="1"/>
    <col min="2575" max="2577" width="15.7109375" style="369" customWidth="1"/>
    <col min="2578" max="2578" width="17.7109375" style="369" customWidth="1"/>
    <col min="2579" max="2816" width="9.140625" style="369"/>
    <col min="2817" max="2817" width="3.140625" style="369" customWidth="1"/>
    <col min="2818" max="2818" width="14.7109375" style="369" customWidth="1"/>
    <col min="2819" max="2819" width="11.140625" style="369" customWidth="1"/>
    <col min="2820" max="2820" width="11.28515625" style="369" customWidth="1"/>
    <col min="2821" max="2823" width="11" style="369" customWidth="1"/>
    <col min="2824" max="2824" width="11.85546875" style="369" customWidth="1"/>
    <col min="2825" max="2825" width="11.28515625" style="369" customWidth="1"/>
    <col min="2826" max="2826" width="12.140625" style="369" customWidth="1"/>
    <col min="2827" max="2827" width="2.7109375" style="369" customWidth="1"/>
    <col min="2828" max="2828" width="15.42578125" style="369" customWidth="1"/>
    <col min="2829" max="2829" width="13.5703125" style="369" customWidth="1"/>
    <col min="2830" max="2830" width="3.85546875" style="369" customWidth="1"/>
    <col min="2831" max="2833" width="15.7109375" style="369" customWidth="1"/>
    <col min="2834" max="2834" width="17.7109375" style="369" customWidth="1"/>
    <col min="2835" max="3072" width="9.140625" style="369"/>
    <col min="3073" max="3073" width="3.140625" style="369" customWidth="1"/>
    <col min="3074" max="3074" width="14.7109375" style="369" customWidth="1"/>
    <col min="3075" max="3075" width="11.140625" style="369" customWidth="1"/>
    <col min="3076" max="3076" width="11.28515625" style="369" customWidth="1"/>
    <col min="3077" max="3079" width="11" style="369" customWidth="1"/>
    <col min="3080" max="3080" width="11.85546875" style="369" customWidth="1"/>
    <col min="3081" max="3081" width="11.28515625" style="369" customWidth="1"/>
    <col min="3082" max="3082" width="12.140625" style="369" customWidth="1"/>
    <col min="3083" max="3083" width="2.7109375" style="369" customWidth="1"/>
    <col min="3084" max="3084" width="15.42578125" style="369" customWidth="1"/>
    <col min="3085" max="3085" width="13.5703125" style="369" customWidth="1"/>
    <col min="3086" max="3086" width="3.85546875" style="369" customWidth="1"/>
    <col min="3087" max="3089" width="15.7109375" style="369" customWidth="1"/>
    <col min="3090" max="3090" width="17.7109375" style="369" customWidth="1"/>
    <col min="3091" max="3328" width="9.140625" style="369"/>
    <col min="3329" max="3329" width="3.140625" style="369" customWidth="1"/>
    <col min="3330" max="3330" width="14.7109375" style="369" customWidth="1"/>
    <col min="3331" max="3331" width="11.140625" style="369" customWidth="1"/>
    <col min="3332" max="3332" width="11.28515625" style="369" customWidth="1"/>
    <col min="3333" max="3335" width="11" style="369" customWidth="1"/>
    <col min="3336" max="3336" width="11.85546875" style="369" customWidth="1"/>
    <col min="3337" max="3337" width="11.28515625" style="369" customWidth="1"/>
    <col min="3338" max="3338" width="12.140625" style="369" customWidth="1"/>
    <col min="3339" max="3339" width="2.7109375" style="369" customWidth="1"/>
    <col min="3340" max="3340" width="15.42578125" style="369" customWidth="1"/>
    <col min="3341" max="3341" width="13.5703125" style="369" customWidth="1"/>
    <col min="3342" max="3342" width="3.85546875" style="369" customWidth="1"/>
    <col min="3343" max="3345" width="15.7109375" style="369" customWidth="1"/>
    <col min="3346" max="3346" width="17.7109375" style="369" customWidth="1"/>
    <col min="3347" max="3584" width="9.140625" style="369"/>
    <col min="3585" max="3585" width="3.140625" style="369" customWidth="1"/>
    <col min="3586" max="3586" width="14.7109375" style="369" customWidth="1"/>
    <col min="3587" max="3587" width="11.140625" style="369" customWidth="1"/>
    <col min="3588" max="3588" width="11.28515625" style="369" customWidth="1"/>
    <col min="3589" max="3591" width="11" style="369" customWidth="1"/>
    <col min="3592" max="3592" width="11.85546875" style="369" customWidth="1"/>
    <col min="3593" max="3593" width="11.28515625" style="369" customWidth="1"/>
    <col min="3594" max="3594" width="12.140625" style="369" customWidth="1"/>
    <col min="3595" max="3595" width="2.7109375" style="369" customWidth="1"/>
    <col min="3596" max="3596" width="15.42578125" style="369" customWidth="1"/>
    <col min="3597" max="3597" width="13.5703125" style="369" customWidth="1"/>
    <col min="3598" max="3598" width="3.85546875" style="369" customWidth="1"/>
    <col min="3599" max="3601" width="15.7109375" style="369" customWidth="1"/>
    <col min="3602" max="3602" width="17.7109375" style="369" customWidth="1"/>
    <col min="3603" max="3840" width="9.140625" style="369"/>
    <col min="3841" max="3841" width="3.140625" style="369" customWidth="1"/>
    <col min="3842" max="3842" width="14.7109375" style="369" customWidth="1"/>
    <col min="3843" max="3843" width="11.140625" style="369" customWidth="1"/>
    <col min="3844" max="3844" width="11.28515625" style="369" customWidth="1"/>
    <col min="3845" max="3847" width="11" style="369" customWidth="1"/>
    <col min="3848" max="3848" width="11.85546875" style="369" customWidth="1"/>
    <col min="3849" max="3849" width="11.28515625" style="369" customWidth="1"/>
    <col min="3850" max="3850" width="12.140625" style="369" customWidth="1"/>
    <col min="3851" max="3851" width="2.7109375" style="369" customWidth="1"/>
    <col min="3852" max="3852" width="15.42578125" style="369" customWidth="1"/>
    <col min="3853" max="3853" width="13.5703125" style="369" customWidth="1"/>
    <col min="3854" max="3854" width="3.85546875" style="369" customWidth="1"/>
    <col min="3855" max="3857" width="15.7109375" style="369" customWidth="1"/>
    <col min="3858" max="3858" width="17.7109375" style="369" customWidth="1"/>
    <col min="3859" max="4096" width="9.140625" style="369"/>
    <col min="4097" max="4097" width="3.140625" style="369" customWidth="1"/>
    <col min="4098" max="4098" width="14.7109375" style="369" customWidth="1"/>
    <col min="4099" max="4099" width="11.140625" style="369" customWidth="1"/>
    <col min="4100" max="4100" width="11.28515625" style="369" customWidth="1"/>
    <col min="4101" max="4103" width="11" style="369" customWidth="1"/>
    <col min="4104" max="4104" width="11.85546875" style="369" customWidth="1"/>
    <col min="4105" max="4105" width="11.28515625" style="369" customWidth="1"/>
    <col min="4106" max="4106" width="12.140625" style="369" customWidth="1"/>
    <col min="4107" max="4107" width="2.7109375" style="369" customWidth="1"/>
    <col min="4108" max="4108" width="15.42578125" style="369" customWidth="1"/>
    <col min="4109" max="4109" width="13.5703125" style="369" customWidth="1"/>
    <col min="4110" max="4110" width="3.85546875" style="369" customWidth="1"/>
    <col min="4111" max="4113" width="15.7109375" style="369" customWidth="1"/>
    <col min="4114" max="4114" width="17.7109375" style="369" customWidth="1"/>
    <col min="4115" max="4352" width="9.140625" style="369"/>
    <col min="4353" max="4353" width="3.140625" style="369" customWidth="1"/>
    <col min="4354" max="4354" width="14.7109375" style="369" customWidth="1"/>
    <col min="4355" max="4355" width="11.140625" style="369" customWidth="1"/>
    <col min="4356" max="4356" width="11.28515625" style="369" customWidth="1"/>
    <col min="4357" max="4359" width="11" style="369" customWidth="1"/>
    <col min="4360" max="4360" width="11.85546875" style="369" customWidth="1"/>
    <col min="4361" max="4361" width="11.28515625" style="369" customWidth="1"/>
    <col min="4362" max="4362" width="12.140625" style="369" customWidth="1"/>
    <col min="4363" max="4363" width="2.7109375" style="369" customWidth="1"/>
    <col min="4364" max="4364" width="15.42578125" style="369" customWidth="1"/>
    <col min="4365" max="4365" width="13.5703125" style="369" customWidth="1"/>
    <col min="4366" max="4366" width="3.85546875" style="369" customWidth="1"/>
    <col min="4367" max="4369" width="15.7109375" style="369" customWidth="1"/>
    <col min="4370" max="4370" width="17.7109375" style="369" customWidth="1"/>
    <col min="4371" max="4608" width="9.140625" style="369"/>
    <col min="4609" max="4609" width="3.140625" style="369" customWidth="1"/>
    <col min="4610" max="4610" width="14.7109375" style="369" customWidth="1"/>
    <col min="4611" max="4611" width="11.140625" style="369" customWidth="1"/>
    <col min="4612" max="4612" width="11.28515625" style="369" customWidth="1"/>
    <col min="4613" max="4615" width="11" style="369" customWidth="1"/>
    <col min="4616" max="4616" width="11.85546875" style="369" customWidth="1"/>
    <col min="4617" max="4617" width="11.28515625" style="369" customWidth="1"/>
    <col min="4618" max="4618" width="12.140625" style="369" customWidth="1"/>
    <col min="4619" max="4619" width="2.7109375" style="369" customWidth="1"/>
    <col min="4620" max="4620" width="15.42578125" style="369" customWidth="1"/>
    <col min="4621" max="4621" width="13.5703125" style="369" customWidth="1"/>
    <col min="4622" max="4622" width="3.85546875" style="369" customWidth="1"/>
    <col min="4623" max="4625" width="15.7109375" style="369" customWidth="1"/>
    <col min="4626" max="4626" width="17.7109375" style="369" customWidth="1"/>
    <col min="4627" max="4864" width="9.140625" style="369"/>
    <col min="4865" max="4865" width="3.140625" style="369" customWidth="1"/>
    <col min="4866" max="4866" width="14.7109375" style="369" customWidth="1"/>
    <col min="4867" max="4867" width="11.140625" style="369" customWidth="1"/>
    <col min="4868" max="4868" width="11.28515625" style="369" customWidth="1"/>
    <col min="4869" max="4871" width="11" style="369" customWidth="1"/>
    <col min="4872" max="4872" width="11.85546875" style="369" customWidth="1"/>
    <col min="4873" max="4873" width="11.28515625" style="369" customWidth="1"/>
    <col min="4874" max="4874" width="12.140625" style="369" customWidth="1"/>
    <col min="4875" max="4875" width="2.7109375" style="369" customWidth="1"/>
    <col min="4876" max="4876" width="15.42578125" style="369" customWidth="1"/>
    <col min="4877" max="4877" width="13.5703125" style="369" customWidth="1"/>
    <col min="4878" max="4878" width="3.85546875" style="369" customWidth="1"/>
    <col min="4879" max="4881" width="15.7109375" style="369" customWidth="1"/>
    <col min="4882" max="4882" width="17.7109375" style="369" customWidth="1"/>
    <col min="4883" max="5120" width="9.140625" style="369"/>
    <col min="5121" max="5121" width="3.140625" style="369" customWidth="1"/>
    <col min="5122" max="5122" width="14.7109375" style="369" customWidth="1"/>
    <col min="5123" max="5123" width="11.140625" style="369" customWidth="1"/>
    <col min="5124" max="5124" width="11.28515625" style="369" customWidth="1"/>
    <col min="5125" max="5127" width="11" style="369" customWidth="1"/>
    <col min="5128" max="5128" width="11.85546875" style="369" customWidth="1"/>
    <col min="5129" max="5129" width="11.28515625" style="369" customWidth="1"/>
    <col min="5130" max="5130" width="12.140625" style="369" customWidth="1"/>
    <col min="5131" max="5131" width="2.7109375" style="369" customWidth="1"/>
    <col min="5132" max="5132" width="15.42578125" style="369" customWidth="1"/>
    <col min="5133" max="5133" width="13.5703125" style="369" customWidth="1"/>
    <col min="5134" max="5134" width="3.85546875" style="369" customWidth="1"/>
    <col min="5135" max="5137" width="15.7109375" style="369" customWidth="1"/>
    <col min="5138" max="5138" width="17.7109375" style="369" customWidth="1"/>
    <col min="5139" max="5376" width="9.140625" style="369"/>
    <col min="5377" max="5377" width="3.140625" style="369" customWidth="1"/>
    <col min="5378" max="5378" width="14.7109375" style="369" customWidth="1"/>
    <col min="5379" max="5379" width="11.140625" style="369" customWidth="1"/>
    <col min="5380" max="5380" width="11.28515625" style="369" customWidth="1"/>
    <col min="5381" max="5383" width="11" style="369" customWidth="1"/>
    <col min="5384" max="5384" width="11.85546875" style="369" customWidth="1"/>
    <col min="5385" max="5385" width="11.28515625" style="369" customWidth="1"/>
    <col min="5386" max="5386" width="12.140625" style="369" customWidth="1"/>
    <col min="5387" max="5387" width="2.7109375" style="369" customWidth="1"/>
    <col min="5388" max="5388" width="15.42578125" style="369" customWidth="1"/>
    <col min="5389" max="5389" width="13.5703125" style="369" customWidth="1"/>
    <col min="5390" max="5390" width="3.85546875" style="369" customWidth="1"/>
    <col min="5391" max="5393" width="15.7109375" style="369" customWidth="1"/>
    <col min="5394" max="5394" width="17.7109375" style="369" customWidth="1"/>
    <col min="5395" max="5632" width="9.140625" style="369"/>
    <col min="5633" max="5633" width="3.140625" style="369" customWidth="1"/>
    <col min="5634" max="5634" width="14.7109375" style="369" customWidth="1"/>
    <col min="5635" max="5635" width="11.140625" style="369" customWidth="1"/>
    <col min="5636" max="5636" width="11.28515625" style="369" customWidth="1"/>
    <col min="5637" max="5639" width="11" style="369" customWidth="1"/>
    <col min="5640" max="5640" width="11.85546875" style="369" customWidth="1"/>
    <col min="5641" max="5641" width="11.28515625" style="369" customWidth="1"/>
    <col min="5642" max="5642" width="12.140625" style="369" customWidth="1"/>
    <col min="5643" max="5643" width="2.7109375" style="369" customWidth="1"/>
    <col min="5644" max="5644" width="15.42578125" style="369" customWidth="1"/>
    <col min="5645" max="5645" width="13.5703125" style="369" customWidth="1"/>
    <col min="5646" max="5646" width="3.85546875" style="369" customWidth="1"/>
    <col min="5647" max="5649" width="15.7109375" style="369" customWidth="1"/>
    <col min="5650" max="5650" width="17.7109375" style="369" customWidth="1"/>
    <col min="5651" max="5888" width="9.140625" style="369"/>
    <col min="5889" max="5889" width="3.140625" style="369" customWidth="1"/>
    <col min="5890" max="5890" width="14.7109375" style="369" customWidth="1"/>
    <col min="5891" max="5891" width="11.140625" style="369" customWidth="1"/>
    <col min="5892" max="5892" width="11.28515625" style="369" customWidth="1"/>
    <col min="5893" max="5895" width="11" style="369" customWidth="1"/>
    <col min="5896" max="5896" width="11.85546875" style="369" customWidth="1"/>
    <col min="5897" max="5897" width="11.28515625" style="369" customWidth="1"/>
    <col min="5898" max="5898" width="12.140625" style="369" customWidth="1"/>
    <col min="5899" max="5899" width="2.7109375" style="369" customWidth="1"/>
    <col min="5900" max="5900" width="15.42578125" style="369" customWidth="1"/>
    <col min="5901" max="5901" width="13.5703125" style="369" customWidth="1"/>
    <col min="5902" max="5902" width="3.85546875" style="369" customWidth="1"/>
    <col min="5903" max="5905" width="15.7109375" style="369" customWidth="1"/>
    <col min="5906" max="5906" width="17.7109375" style="369" customWidth="1"/>
    <col min="5907" max="6144" width="9.140625" style="369"/>
    <col min="6145" max="6145" width="3.140625" style="369" customWidth="1"/>
    <col min="6146" max="6146" width="14.7109375" style="369" customWidth="1"/>
    <col min="6147" max="6147" width="11.140625" style="369" customWidth="1"/>
    <col min="6148" max="6148" width="11.28515625" style="369" customWidth="1"/>
    <col min="6149" max="6151" width="11" style="369" customWidth="1"/>
    <col min="6152" max="6152" width="11.85546875" style="369" customWidth="1"/>
    <col min="6153" max="6153" width="11.28515625" style="369" customWidth="1"/>
    <col min="6154" max="6154" width="12.140625" style="369" customWidth="1"/>
    <col min="6155" max="6155" width="2.7109375" style="369" customWidth="1"/>
    <col min="6156" max="6156" width="15.42578125" style="369" customWidth="1"/>
    <col min="6157" max="6157" width="13.5703125" style="369" customWidth="1"/>
    <col min="6158" max="6158" width="3.85546875" style="369" customWidth="1"/>
    <col min="6159" max="6161" width="15.7109375" style="369" customWidth="1"/>
    <col min="6162" max="6162" width="17.7109375" style="369" customWidth="1"/>
    <col min="6163" max="6400" width="9.140625" style="369"/>
    <col min="6401" max="6401" width="3.140625" style="369" customWidth="1"/>
    <col min="6402" max="6402" width="14.7109375" style="369" customWidth="1"/>
    <col min="6403" max="6403" width="11.140625" style="369" customWidth="1"/>
    <col min="6404" max="6404" width="11.28515625" style="369" customWidth="1"/>
    <col min="6405" max="6407" width="11" style="369" customWidth="1"/>
    <col min="6408" max="6408" width="11.85546875" style="369" customWidth="1"/>
    <col min="6409" max="6409" width="11.28515625" style="369" customWidth="1"/>
    <col min="6410" max="6410" width="12.140625" style="369" customWidth="1"/>
    <col min="6411" max="6411" width="2.7109375" style="369" customWidth="1"/>
    <col min="6412" max="6412" width="15.42578125" style="369" customWidth="1"/>
    <col min="6413" max="6413" width="13.5703125" style="369" customWidth="1"/>
    <col min="6414" max="6414" width="3.85546875" style="369" customWidth="1"/>
    <col min="6415" max="6417" width="15.7109375" style="369" customWidth="1"/>
    <col min="6418" max="6418" width="17.7109375" style="369" customWidth="1"/>
    <col min="6419" max="6656" width="9.140625" style="369"/>
    <col min="6657" max="6657" width="3.140625" style="369" customWidth="1"/>
    <col min="6658" max="6658" width="14.7109375" style="369" customWidth="1"/>
    <col min="6659" max="6659" width="11.140625" style="369" customWidth="1"/>
    <col min="6660" max="6660" width="11.28515625" style="369" customWidth="1"/>
    <col min="6661" max="6663" width="11" style="369" customWidth="1"/>
    <col min="6664" max="6664" width="11.85546875" style="369" customWidth="1"/>
    <col min="6665" max="6665" width="11.28515625" style="369" customWidth="1"/>
    <col min="6666" max="6666" width="12.140625" style="369" customWidth="1"/>
    <col min="6667" max="6667" width="2.7109375" style="369" customWidth="1"/>
    <col min="6668" max="6668" width="15.42578125" style="369" customWidth="1"/>
    <col min="6669" max="6669" width="13.5703125" style="369" customWidth="1"/>
    <col min="6670" max="6670" width="3.85546875" style="369" customWidth="1"/>
    <col min="6671" max="6673" width="15.7109375" style="369" customWidth="1"/>
    <col min="6674" max="6674" width="17.7109375" style="369" customWidth="1"/>
    <col min="6675" max="6912" width="9.140625" style="369"/>
    <col min="6913" max="6913" width="3.140625" style="369" customWidth="1"/>
    <col min="6914" max="6914" width="14.7109375" style="369" customWidth="1"/>
    <col min="6915" max="6915" width="11.140625" style="369" customWidth="1"/>
    <col min="6916" max="6916" width="11.28515625" style="369" customWidth="1"/>
    <col min="6917" max="6919" width="11" style="369" customWidth="1"/>
    <col min="6920" max="6920" width="11.85546875" style="369" customWidth="1"/>
    <col min="6921" max="6921" width="11.28515625" style="369" customWidth="1"/>
    <col min="6922" max="6922" width="12.140625" style="369" customWidth="1"/>
    <col min="6923" max="6923" width="2.7109375" style="369" customWidth="1"/>
    <col min="6924" max="6924" width="15.42578125" style="369" customWidth="1"/>
    <col min="6925" max="6925" width="13.5703125" style="369" customWidth="1"/>
    <col min="6926" max="6926" width="3.85546875" style="369" customWidth="1"/>
    <col min="6927" max="6929" width="15.7109375" style="369" customWidth="1"/>
    <col min="6930" max="6930" width="17.7109375" style="369" customWidth="1"/>
    <col min="6931" max="7168" width="9.140625" style="369"/>
    <col min="7169" max="7169" width="3.140625" style="369" customWidth="1"/>
    <col min="7170" max="7170" width="14.7109375" style="369" customWidth="1"/>
    <col min="7171" max="7171" width="11.140625" style="369" customWidth="1"/>
    <col min="7172" max="7172" width="11.28515625" style="369" customWidth="1"/>
    <col min="7173" max="7175" width="11" style="369" customWidth="1"/>
    <col min="7176" max="7176" width="11.85546875" style="369" customWidth="1"/>
    <col min="7177" max="7177" width="11.28515625" style="369" customWidth="1"/>
    <col min="7178" max="7178" width="12.140625" style="369" customWidth="1"/>
    <col min="7179" max="7179" width="2.7109375" style="369" customWidth="1"/>
    <col min="7180" max="7180" width="15.42578125" style="369" customWidth="1"/>
    <col min="7181" max="7181" width="13.5703125" style="369" customWidth="1"/>
    <col min="7182" max="7182" width="3.85546875" style="369" customWidth="1"/>
    <col min="7183" max="7185" width="15.7109375" style="369" customWidth="1"/>
    <col min="7186" max="7186" width="17.7109375" style="369" customWidth="1"/>
    <col min="7187" max="7424" width="9.140625" style="369"/>
    <col min="7425" max="7425" width="3.140625" style="369" customWidth="1"/>
    <col min="7426" max="7426" width="14.7109375" style="369" customWidth="1"/>
    <col min="7427" max="7427" width="11.140625" style="369" customWidth="1"/>
    <col min="7428" max="7428" width="11.28515625" style="369" customWidth="1"/>
    <col min="7429" max="7431" width="11" style="369" customWidth="1"/>
    <col min="7432" max="7432" width="11.85546875" style="369" customWidth="1"/>
    <col min="7433" max="7433" width="11.28515625" style="369" customWidth="1"/>
    <col min="7434" max="7434" width="12.140625" style="369" customWidth="1"/>
    <col min="7435" max="7435" width="2.7109375" style="369" customWidth="1"/>
    <col min="7436" max="7436" width="15.42578125" style="369" customWidth="1"/>
    <col min="7437" max="7437" width="13.5703125" style="369" customWidth="1"/>
    <col min="7438" max="7438" width="3.85546875" style="369" customWidth="1"/>
    <col min="7439" max="7441" width="15.7109375" style="369" customWidth="1"/>
    <col min="7442" max="7442" width="17.7109375" style="369" customWidth="1"/>
    <col min="7443" max="7680" width="9.140625" style="369"/>
    <col min="7681" max="7681" width="3.140625" style="369" customWidth="1"/>
    <col min="7682" max="7682" width="14.7109375" style="369" customWidth="1"/>
    <col min="7683" max="7683" width="11.140625" style="369" customWidth="1"/>
    <col min="7684" max="7684" width="11.28515625" style="369" customWidth="1"/>
    <col min="7685" max="7687" width="11" style="369" customWidth="1"/>
    <col min="7688" max="7688" width="11.85546875" style="369" customWidth="1"/>
    <col min="7689" max="7689" width="11.28515625" style="369" customWidth="1"/>
    <col min="7690" max="7690" width="12.140625" style="369" customWidth="1"/>
    <col min="7691" max="7691" width="2.7109375" style="369" customWidth="1"/>
    <col min="7692" max="7692" width="15.42578125" style="369" customWidth="1"/>
    <col min="7693" max="7693" width="13.5703125" style="369" customWidth="1"/>
    <col min="7694" max="7694" width="3.85546875" style="369" customWidth="1"/>
    <col min="7695" max="7697" width="15.7109375" style="369" customWidth="1"/>
    <col min="7698" max="7698" width="17.7109375" style="369" customWidth="1"/>
    <col min="7699" max="7936" width="9.140625" style="369"/>
    <col min="7937" max="7937" width="3.140625" style="369" customWidth="1"/>
    <col min="7938" max="7938" width="14.7109375" style="369" customWidth="1"/>
    <col min="7939" max="7939" width="11.140625" style="369" customWidth="1"/>
    <col min="7940" max="7940" width="11.28515625" style="369" customWidth="1"/>
    <col min="7941" max="7943" width="11" style="369" customWidth="1"/>
    <col min="7944" max="7944" width="11.85546875" style="369" customWidth="1"/>
    <col min="7945" max="7945" width="11.28515625" style="369" customWidth="1"/>
    <col min="7946" max="7946" width="12.140625" style="369" customWidth="1"/>
    <col min="7947" max="7947" width="2.7109375" style="369" customWidth="1"/>
    <col min="7948" max="7948" width="15.42578125" style="369" customWidth="1"/>
    <col min="7949" max="7949" width="13.5703125" style="369" customWidth="1"/>
    <col min="7950" max="7950" width="3.85546875" style="369" customWidth="1"/>
    <col min="7951" max="7953" width="15.7109375" style="369" customWidth="1"/>
    <col min="7954" max="7954" width="17.7109375" style="369" customWidth="1"/>
    <col min="7955" max="8192" width="9.140625" style="369"/>
    <col min="8193" max="8193" width="3.140625" style="369" customWidth="1"/>
    <col min="8194" max="8194" width="14.7109375" style="369" customWidth="1"/>
    <col min="8195" max="8195" width="11.140625" style="369" customWidth="1"/>
    <col min="8196" max="8196" width="11.28515625" style="369" customWidth="1"/>
    <col min="8197" max="8199" width="11" style="369" customWidth="1"/>
    <col min="8200" max="8200" width="11.85546875" style="369" customWidth="1"/>
    <col min="8201" max="8201" width="11.28515625" style="369" customWidth="1"/>
    <col min="8202" max="8202" width="12.140625" style="369" customWidth="1"/>
    <col min="8203" max="8203" width="2.7109375" style="369" customWidth="1"/>
    <col min="8204" max="8204" width="15.42578125" style="369" customWidth="1"/>
    <col min="8205" max="8205" width="13.5703125" style="369" customWidth="1"/>
    <col min="8206" max="8206" width="3.85546875" style="369" customWidth="1"/>
    <col min="8207" max="8209" width="15.7109375" style="369" customWidth="1"/>
    <col min="8210" max="8210" width="17.7109375" style="369" customWidth="1"/>
    <col min="8211" max="8448" width="9.140625" style="369"/>
    <col min="8449" max="8449" width="3.140625" style="369" customWidth="1"/>
    <col min="8450" max="8450" width="14.7109375" style="369" customWidth="1"/>
    <col min="8451" max="8451" width="11.140625" style="369" customWidth="1"/>
    <col min="8452" max="8452" width="11.28515625" style="369" customWidth="1"/>
    <col min="8453" max="8455" width="11" style="369" customWidth="1"/>
    <col min="8456" max="8456" width="11.85546875" style="369" customWidth="1"/>
    <col min="8457" max="8457" width="11.28515625" style="369" customWidth="1"/>
    <col min="8458" max="8458" width="12.140625" style="369" customWidth="1"/>
    <col min="8459" max="8459" width="2.7109375" style="369" customWidth="1"/>
    <col min="8460" max="8460" width="15.42578125" style="369" customWidth="1"/>
    <col min="8461" max="8461" width="13.5703125" style="369" customWidth="1"/>
    <col min="8462" max="8462" width="3.85546875" style="369" customWidth="1"/>
    <col min="8463" max="8465" width="15.7109375" style="369" customWidth="1"/>
    <col min="8466" max="8466" width="17.7109375" style="369" customWidth="1"/>
    <col min="8467" max="8704" width="9.140625" style="369"/>
    <col min="8705" max="8705" width="3.140625" style="369" customWidth="1"/>
    <col min="8706" max="8706" width="14.7109375" style="369" customWidth="1"/>
    <col min="8707" max="8707" width="11.140625" style="369" customWidth="1"/>
    <col min="8708" max="8708" width="11.28515625" style="369" customWidth="1"/>
    <col min="8709" max="8711" width="11" style="369" customWidth="1"/>
    <col min="8712" max="8712" width="11.85546875" style="369" customWidth="1"/>
    <col min="8713" max="8713" width="11.28515625" style="369" customWidth="1"/>
    <col min="8714" max="8714" width="12.140625" style="369" customWidth="1"/>
    <col min="8715" max="8715" width="2.7109375" style="369" customWidth="1"/>
    <col min="8716" max="8716" width="15.42578125" style="369" customWidth="1"/>
    <col min="8717" max="8717" width="13.5703125" style="369" customWidth="1"/>
    <col min="8718" max="8718" width="3.85546875" style="369" customWidth="1"/>
    <col min="8719" max="8721" width="15.7109375" style="369" customWidth="1"/>
    <col min="8722" max="8722" width="17.7109375" style="369" customWidth="1"/>
    <col min="8723" max="8960" width="9.140625" style="369"/>
    <col min="8961" max="8961" width="3.140625" style="369" customWidth="1"/>
    <col min="8962" max="8962" width="14.7109375" style="369" customWidth="1"/>
    <col min="8963" max="8963" width="11.140625" style="369" customWidth="1"/>
    <col min="8964" max="8964" width="11.28515625" style="369" customWidth="1"/>
    <col min="8965" max="8967" width="11" style="369" customWidth="1"/>
    <col min="8968" max="8968" width="11.85546875" style="369" customWidth="1"/>
    <col min="8969" max="8969" width="11.28515625" style="369" customWidth="1"/>
    <col min="8970" max="8970" width="12.140625" style="369" customWidth="1"/>
    <col min="8971" max="8971" width="2.7109375" style="369" customWidth="1"/>
    <col min="8972" max="8972" width="15.42578125" style="369" customWidth="1"/>
    <col min="8973" max="8973" width="13.5703125" style="369" customWidth="1"/>
    <col min="8974" max="8974" width="3.85546875" style="369" customWidth="1"/>
    <col min="8975" max="8977" width="15.7109375" style="369" customWidth="1"/>
    <col min="8978" max="8978" width="17.7109375" style="369" customWidth="1"/>
    <col min="8979" max="9216" width="9.140625" style="369"/>
    <col min="9217" max="9217" width="3.140625" style="369" customWidth="1"/>
    <col min="9218" max="9218" width="14.7109375" style="369" customWidth="1"/>
    <col min="9219" max="9219" width="11.140625" style="369" customWidth="1"/>
    <col min="9220" max="9220" width="11.28515625" style="369" customWidth="1"/>
    <col min="9221" max="9223" width="11" style="369" customWidth="1"/>
    <col min="9224" max="9224" width="11.85546875" style="369" customWidth="1"/>
    <col min="9225" max="9225" width="11.28515625" style="369" customWidth="1"/>
    <col min="9226" max="9226" width="12.140625" style="369" customWidth="1"/>
    <col min="9227" max="9227" width="2.7109375" style="369" customWidth="1"/>
    <col min="9228" max="9228" width="15.42578125" style="369" customWidth="1"/>
    <col min="9229" max="9229" width="13.5703125" style="369" customWidth="1"/>
    <col min="9230" max="9230" width="3.85546875" style="369" customWidth="1"/>
    <col min="9231" max="9233" width="15.7109375" style="369" customWidth="1"/>
    <col min="9234" max="9234" width="17.7109375" style="369" customWidth="1"/>
    <col min="9235" max="9472" width="9.140625" style="369"/>
    <col min="9473" max="9473" width="3.140625" style="369" customWidth="1"/>
    <col min="9474" max="9474" width="14.7109375" style="369" customWidth="1"/>
    <col min="9475" max="9475" width="11.140625" style="369" customWidth="1"/>
    <col min="9476" max="9476" width="11.28515625" style="369" customWidth="1"/>
    <col min="9477" max="9479" width="11" style="369" customWidth="1"/>
    <col min="9480" max="9480" width="11.85546875" style="369" customWidth="1"/>
    <col min="9481" max="9481" width="11.28515625" style="369" customWidth="1"/>
    <col min="9482" max="9482" width="12.140625" style="369" customWidth="1"/>
    <col min="9483" max="9483" width="2.7109375" style="369" customWidth="1"/>
    <col min="9484" max="9484" width="15.42578125" style="369" customWidth="1"/>
    <col min="9485" max="9485" width="13.5703125" style="369" customWidth="1"/>
    <col min="9486" max="9486" width="3.85546875" style="369" customWidth="1"/>
    <col min="9487" max="9489" width="15.7109375" style="369" customWidth="1"/>
    <col min="9490" max="9490" width="17.7109375" style="369" customWidth="1"/>
    <col min="9491" max="9728" width="9.140625" style="369"/>
    <col min="9729" max="9729" width="3.140625" style="369" customWidth="1"/>
    <col min="9730" max="9730" width="14.7109375" style="369" customWidth="1"/>
    <col min="9731" max="9731" width="11.140625" style="369" customWidth="1"/>
    <col min="9732" max="9732" width="11.28515625" style="369" customWidth="1"/>
    <col min="9733" max="9735" width="11" style="369" customWidth="1"/>
    <col min="9736" max="9736" width="11.85546875" style="369" customWidth="1"/>
    <col min="9737" max="9737" width="11.28515625" style="369" customWidth="1"/>
    <col min="9738" max="9738" width="12.140625" style="369" customWidth="1"/>
    <col min="9739" max="9739" width="2.7109375" style="369" customWidth="1"/>
    <col min="9740" max="9740" width="15.42578125" style="369" customWidth="1"/>
    <col min="9741" max="9741" width="13.5703125" style="369" customWidth="1"/>
    <col min="9742" max="9742" width="3.85546875" style="369" customWidth="1"/>
    <col min="9743" max="9745" width="15.7109375" style="369" customWidth="1"/>
    <col min="9746" max="9746" width="17.7109375" style="369" customWidth="1"/>
    <col min="9747" max="9984" width="9.140625" style="369"/>
    <col min="9985" max="9985" width="3.140625" style="369" customWidth="1"/>
    <col min="9986" max="9986" width="14.7109375" style="369" customWidth="1"/>
    <col min="9987" max="9987" width="11.140625" style="369" customWidth="1"/>
    <col min="9988" max="9988" width="11.28515625" style="369" customWidth="1"/>
    <col min="9989" max="9991" width="11" style="369" customWidth="1"/>
    <col min="9992" max="9992" width="11.85546875" style="369" customWidth="1"/>
    <col min="9993" max="9993" width="11.28515625" style="369" customWidth="1"/>
    <col min="9994" max="9994" width="12.140625" style="369" customWidth="1"/>
    <col min="9995" max="9995" width="2.7109375" style="369" customWidth="1"/>
    <col min="9996" max="9996" width="15.42578125" style="369" customWidth="1"/>
    <col min="9997" max="9997" width="13.5703125" style="369" customWidth="1"/>
    <col min="9998" max="9998" width="3.85546875" style="369" customWidth="1"/>
    <col min="9999" max="10001" width="15.7109375" style="369" customWidth="1"/>
    <col min="10002" max="10002" width="17.7109375" style="369" customWidth="1"/>
    <col min="10003" max="10240" width="9.140625" style="369"/>
    <col min="10241" max="10241" width="3.140625" style="369" customWidth="1"/>
    <col min="10242" max="10242" width="14.7109375" style="369" customWidth="1"/>
    <col min="10243" max="10243" width="11.140625" style="369" customWidth="1"/>
    <col min="10244" max="10244" width="11.28515625" style="369" customWidth="1"/>
    <col min="10245" max="10247" width="11" style="369" customWidth="1"/>
    <col min="10248" max="10248" width="11.85546875" style="369" customWidth="1"/>
    <col min="10249" max="10249" width="11.28515625" style="369" customWidth="1"/>
    <col min="10250" max="10250" width="12.140625" style="369" customWidth="1"/>
    <col min="10251" max="10251" width="2.7109375" style="369" customWidth="1"/>
    <col min="10252" max="10252" width="15.42578125" style="369" customWidth="1"/>
    <col min="10253" max="10253" width="13.5703125" style="369" customWidth="1"/>
    <col min="10254" max="10254" width="3.85546875" style="369" customWidth="1"/>
    <col min="10255" max="10257" width="15.7109375" style="369" customWidth="1"/>
    <col min="10258" max="10258" width="17.7109375" style="369" customWidth="1"/>
    <col min="10259" max="10496" width="9.140625" style="369"/>
    <col min="10497" max="10497" width="3.140625" style="369" customWidth="1"/>
    <col min="10498" max="10498" width="14.7109375" style="369" customWidth="1"/>
    <col min="10499" max="10499" width="11.140625" style="369" customWidth="1"/>
    <col min="10500" max="10500" width="11.28515625" style="369" customWidth="1"/>
    <col min="10501" max="10503" width="11" style="369" customWidth="1"/>
    <col min="10504" max="10504" width="11.85546875" style="369" customWidth="1"/>
    <col min="10505" max="10505" width="11.28515625" style="369" customWidth="1"/>
    <col min="10506" max="10506" width="12.140625" style="369" customWidth="1"/>
    <col min="10507" max="10507" width="2.7109375" style="369" customWidth="1"/>
    <col min="10508" max="10508" width="15.42578125" style="369" customWidth="1"/>
    <col min="10509" max="10509" width="13.5703125" style="369" customWidth="1"/>
    <col min="10510" max="10510" width="3.85546875" style="369" customWidth="1"/>
    <col min="10511" max="10513" width="15.7109375" style="369" customWidth="1"/>
    <col min="10514" max="10514" width="17.7109375" style="369" customWidth="1"/>
    <col min="10515" max="10752" width="9.140625" style="369"/>
    <col min="10753" max="10753" width="3.140625" style="369" customWidth="1"/>
    <col min="10754" max="10754" width="14.7109375" style="369" customWidth="1"/>
    <col min="10755" max="10755" width="11.140625" style="369" customWidth="1"/>
    <col min="10756" max="10756" width="11.28515625" style="369" customWidth="1"/>
    <col min="10757" max="10759" width="11" style="369" customWidth="1"/>
    <col min="10760" max="10760" width="11.85546875" style="369" customWidth="1"/>
    <col min="10761" max="10761" width="11.28515625" style="369" customWidth="1"/>
    <col min="10762" max="10762" width="12.140625" style="369" customWidth="1"/>
    <col min="10763" max="10763" width="2.7109375" style="369" customWidth="1"/>
    <col min="10764" max="10764" width="15.42578125" style="369" customWidth="1"/>
    <col min="10765" max="10765" width="13.5703125" style="369" customWidth="1"/>
    <col min="10766" max="10766" width="3.85546875" style="369" customWidth="1"/>
    <col min="10767" max="10769" width="15.7109375" style="369" customWidth="1"/>
    <col min="10770" max="10770" width="17.7109375" style="369" customWidth="1"/>
    <col min="10771" max="11008" width="9.140625" style="369"/>
    <col min="11009" max="11009" width="3.140625" style="369" customWidth="1"/>
    <col min="11010" max="11010" width="14.7109375" style="369" customWidth="1"/>
    <col min="11011" max="11011" width="11.140625" style="369" customWidth="1"/>
    <col min="11012" max="11012" width="11.28515625" style="369" customWidth="1"/>
    <col min="11013" max="11015" width="11" style="369" customWidth="1"/>
    <col min="11016" max="11016" width="11.85546875" style="369" customWidth="1"/>
    <col min="11017" max="11017" width="11.28515625" style="369" customWidth="1"/>
    <col min="11018" max="11018" width="12.140625" style="369" customWidth="1"/>
    <col min="11019" max="11019" width="2.7109375" style="369" customWidth="1"/>
    <col min="11020" max="11020" width="15.42578125" style="369" customWidth="1"/>
    <col min="11021" max="11021" width="13.5703125" style="369" customWidth="1"/>
    <col min="11022" max="11022" width="3.85546875" style="369" customWidth="1"/>
    <col min="11023" max="11025" width="15.7109375" style="369" customWidth="1"/>
    <col min="11026" max="11026" width="17.7109375" style="369" customWidth="1"/>
    <col min="11027" max="11264" width="9.140625" style="369"/>
    <col min="11265" max="11265" width="3.140625" style="369" customWidth="1"/>
    <col min="11266" max="11266" width="14.7109375" style="369" customWidth="1"/>
    <col min="11267" max="11267" width="11.140625" style="369" customWidth="1"/>
    <col min="11268" max="11268" width="11.28515625" style="369" customWidth="1"/>
    <col min="11269" max="11271" width="11" style="369" customWidth="1"/>
    <col min="11272" max="11272" width="11.85546875" style="369" customWidth="1"/>
    <col min="11273" max="11273" width="11.28515625" style="369" customWidth="1"/>
    <col min="11274" max="11274" width="12.140625" style="369" customWidth="1"/>
    <col min="11275" max="11275" width="2.7109375" style="369" customWidth="1"/>
    <col min="11276" max="11276" width="15.42578125" style="369" customWidth="1"/>
    <col min="11277" max="11277" width="13.5703125" style="369" customWidth="1"/>
    <col min="11278" max="11278" width="3.85546875" style="369" customWidth="1"/>
    <col min="11279" max="11281" width="15.7109375" style="369" customWidth="1"/>
    <col min="11282" max="11282" width="17.7109375" style="369" customWidth="1"/>
    <col min="11283" max="11520" width="9.140625" style="369"/>
    <col min="11521" max="11521" width="3.140625" style="369" customWidth="1"/>
    <col min="11522" max="11522" width="14.7109375" style="369" customWidth="1"/>
    <col min="11523" max="11523" width="11.140625" style="369" customWidth="1"/>
    <col min="11524" max="11524" width="11.28515625" style="369" customWidth="1"/>
    <col min="11525" max="11527" width="11" style="369" customWidth="1"/>
    <col min="11528" max="11528" width="11.85546875" style="369" customWidth="1"/>
    <col min="11529" max="11529" width="11.28515625" style="369" customWidth="1"/>
    <col min="11530" max="11530" width="12.140625" style="369" customWidth="1"/>
    <col min="11531" max="11531" width="2.7109375" style="369" customWidth="1"/>
    <col min="11532" max="11532" width="15.42578125" style="369" customWidth="1"/>
    <col min="11533" max="11533" width="13.5703125" style="369" customWidth="1"/>
    <col min="11534" max="11534" width="3.85546875" style="369" customWidth="1"/>
    <col min="11535" max="11537" width="15.7109375" style="369" customWidth="1"/>
    <col min="11538" max="11538" width="17.7109375" style="369" customWidth="1"/>
    <col min="11539" max="11776" width="9.140625" style="369"/>
    <col min="11777" max="11777" width="3.140625" style="369" customWidth="1"/>
    <col min="11778" max="11778" width="14.7109375" style="369" customWidth="1"/>
    <col min="11779" max="11779" width="11.140625" style="369" customWidth="1"/>
    <col min="11780" max="11780" width="11.28515625" style="369" customWidth="1"/>
    <col min="11781" max="11783" width="11" style="369" customWidth="1"/>
    <col min="11784" max="11784" width="11.85546875" style="369" customWidth="1"/>
    <col min="11785" max="11785" width="11.28515625" style="369" customWidth="1"/>
    <col min="11786" max="11786" width="12.140625" style="369" customWidth="1"/>
    <col min="11787" max="11787" width="2.7109375" style="369" customWidth="1"/>
    <col min="11788" max="11788" width="15.42578125" style="369" customWidth="1"/>
    <col min="11789" max="11789" width="13.5703125" style="369" customWidth="1"/>
    <col min="11790" max="11790" width="3.85546875" style="369" customWidth="1"/>
    <col min="11791" max="11793" width="15.7109375" style="369" customWidth="1"/>
    <col min="11794" max="11794" width="17.7109375" style="369" customWidth="1"/>
    <col min="11795" max="12032" width="9.140625" style="369"/>
    <col min="12033" max="12033" width="3.140625" style="369" customWidth="1"/>
    <col min="12034" max="12034" width="14.7109375" style="369" customWidth="1"/>
    <col min="12035" max="12035" width="11.140625" style="369" customWidth="1"/>
    <col min="12036" max="12036" width="11.28515625" style="369" customWidth="1"/>
    <col min="12037" max="12039" width="11" style="369" customWidth="1"/>
    <col min="12040" max="12040" width="11.85546875" style="369" customWidth="1"/>
    <col min="12041" max="12041" width="11.28515625" style="369" customWidth="1"/>
    <col min="12042" max="12042" width="12.140625" style="369" customWidth="1"/>
    <col min="12043" max="12043" width="2.7109375" style="369" customWidth="1"/>
    <col min="12044" max="12044" width="15.42578125" style="369" customWidth="1"/>
    <col min="12045" max="12045" width="13.5703125" style="369" customWidth="1"/>
    <col min="12046" max="12046" width="3.85546875" style="369" customWidth="1"/>
    <col min="12047" max="12049" width="15.7109375" style="369" customWidth="1"/>
    <col min="12050" max="12050" width="17.7109375" style="369" customWidth="1"/>
    <col min="12051" max="12288" width="9.140625" style="369"/>
    <col min="12289" max="12289" width="3.140625" style="369" customWidth="1"/>
    <col min="12290" max="12290" width="14.7109375" style="369" customWidth="1"/>
    <col min="12291" max="12291" width="11.140625" style="369" customWidth="1"/>
    <col min="12292" max="12292" width="11.28515625" style="369" customWidth="1"/>
    <col min="12293" max="12295" width="11" style="369" customWidth="1"/>
    <col min="12296" max="12296" width="11.85546875" style="369" customWidth="1"/>
    <col min="12297" max="12297" width="11.28515625" style="369" customWidth="1"/>
    <col min="12298" max="12298" width="12.140625" style="369" customWidth="1"/>
    <col min="12299" max="12299" width="2.7109375" style="369" customWidth="1"/>
    <col min="12300" max="12300" width="15.42578125" style="369" customWidth="1"/>
    <col min="12301" max="12301" width="13.5703125" style="369" customWidth="1"/>
    <col min="12302" max="12302" width="3.85546875" style="369" customWidth="1"/>
    <col min="12303" max="12305" width="15.7109375" style="369" customWidth="1"/>
    <col min="12306" max="12306" width="17.7109375" style="369" customWidth="1"/>
    <col min="12307" max="12544" width="9.140625" style="369"/>
    <col min="12545" max="12545" width="3.140625" style="369" customWidth="1"/>
    <col min="12546" max="12546" width="14.7109375" style="369" customWidth="1"/>
    <col min="12547" max="12547" width="11.140625" style="369" customWidth="1"/>
    <col min="12548" max="12548" width="11.28515625" style="369" customWidth="1"/>
    <col min="12549" max="12551" width="11" style="369" customWidth="1"/>
    <col min="12552" max="12552" width="11.85546875" style="369" customWidth="1"/>
    <col min="12553" max="12553" width="11.28515625" style="369" customWidth="1"/>
    <col min="12554" max="12554" width="12.140625" style="369" customWidth="1"/>
    <col min="12555" max="12555" width="2.7109375" style="369" customWidth="1"/>
    <col min="12556" max="12556" width="15.42578125" style="369" customWidth="1"/>
    <col min="12557" max="12557" width="13.5703125" style="369" customWidth="1"/>
    <col min="12558" max="12558" width="3.85546875" style="369" customWidth="1"/>
    <col min="12559" max="12561" width="15.7109375" style="369" customWidth="1"/>
    <col min="12562" max="12562" width="17.7109375" style="369" customWidth="1"/>
    <col min="12563" max="12800" width="9.140625" style="369"/>
    <col min="12801" max="12801" width="3.140625" style="369" customWidth="1"/>
    <col min="12802" max="12802" width="14.7109375" style="369" customWidth="1"/>
    <col min="12803" max="12803" width="11.140625" style="369" customWidth="1"/>
    <col min="12804" max="12804" width="11.28515625" style="369" customWidth="1"/>
    <col min="12805" max="12807" width="11" style="369" customWidth="1"/>
    <col min="12808" max="12808" width="11.85546875" style="369" customWidth="1"/>
    <col min="12809" max="12809" width="11.28515625" style="369" customWidth="1"/>
    <col min="12810" max="12810" width="12.140625" style="369" customWidth="1"/>
    <col min="12811" max="12811" width="2.7109375" style="369" customWidth="1"/>
    <col min="12812" max="12812" width="15.42578125" style="369" customWidth="1"/>
    <col min="12813" max="12813" width="13.5703125" style="369" customWidth="1"/>
    <col min="12814" max="12814" width="3.85546875" style="369" customWidth="1"/>
    <col min="12815" max="12817" width="15.7109375" style="369" customWidth="1"/>
    <col min="12818" max="12818" width="17.7109375" style="369" customWidth="1"/>
    <col min="12819" max="13056" width="9.140625" style="369"/>
    <col min="13057" max="13057" width="3.140625" style="369" customWidth="1"/>
    <col min="13058" max="13058" width="14.7109375" style="369" customWidth="1"/>
    <col min="13059" max="13059" width="11.140625" style="369" customWidth="1"/>
    <col min="13060" max="13060" width="11.28515625" style="369" customWidth="1"/>
    <col min="13061" max="13063" width="11" style="369" customWidth="1"/>
    <col min="13064" max="13064" width="11.85546875" style="369" customWidth="1"/>
    <col min="13065" max="13065" width="11.28515625" style="369" customWidth="1"/>
    <col min="13066" max="13066" width="12.140625" style="369" customWidth="1"/>
    <col min="13067" max="13067" width="2.7109375" style="369" customWidth="1"/>
    <col min="13068" max="13068" width="15.42578125" style="369" customWidth="1"/>
    <col min="13069" max="13069" width="13.5703125" style="369" customWidth="1"/>
    <col min="13070" max="13070" width="3.85546875" style="369" customWidth="1"/>
    <col min="13071" max="13073" width="15.7109375" style="369" customWidth="1"/>
    <col min="13074" max="13074" width="17.7109375" style="369" customWidth="1"/>
    <col min="13075" max="13312" width="9.140625" style="369"/>
    <col min="13313" max="13313" width="3.140625" style="369" customWidth="1"/>
    <col min="13314" max="13314" width="14.7109375" style="369" customWidth="1"/>
    <col min="13315" max="13315" width="11.140625" style="369" customWidth="1"/>
    <col min="13316" max="13316" width="11.28515625" style="369" customWidth="1"/>
    <col min="13317" max="13319" width="11" style="369" customWidth="1"/>
    <col min="13320" max="13320" width="11.85546875" style="369" customWidth="1"/>
    <col min="13321" max="13321" width="11.28515625" style="369" customWidth="1"/>
    <col min="13322" max="13322" width="12.140625" style="369" customWidth="1"/>
    <col min="13323" max="13323" width="2.7109375" style="369" customWidth="1"/>
    <col min="13324" max="13324" width="15.42578125" style="369" customWidth="1"/>
    <col min="13325" max="13325" width="13.5703125" style="369" customWidth="1"/>
    <col min="13326" max="13326" width="3.85546875" style="369" customWidth="1"/>
    <col min="13327" max="13329" width="15.7109375" style="369" customWidth="1"/>
    <col min="13330" max="13330" width="17.7109375" style="369" customWidth="1"/>
    <col min="13331" max="13568" width="9.140625" style="369"/>
    <col min="13569" max="13569" width="3.140625" style="369" customWidth="1"/>
    <col min="13570" max="13570" width="14.7109375" style="369" customWidth="1"/>
    <col min="13571" max="13571" width="11.140625" style="369" customWidth="1"/>
    <col min="13572" max="13572" width="11.28515625" style="369" customWidth="1"/>
    <col min="13573" max="13575" width="11" style="369" customWidth="1"/>
    <col min="13576" max="13576" width="11.85546875" style="369" customWidth="1"/>
    <col min="13577" max="13577" width="11.28515625" style="369" customWidth="1"/>
    <col min="13578" max="13578" width="12.140625" style="369" customWidth="1"/>
    <col min="13579" max="13579" width="2.7109375" style="369" customWidth="1"/>
    <col min="13580" max="13580" width="15.42578125" style="369" customWidth="1"/>
    <col min="13581" max="13581" width="13.5703125" style="369" customWidth="1"/>
    <col min="13582" max="13582" width="3.85546875" style="369" customWidth="1"/>
    <col min="13583" max="13585" width="15.7109375" style="369" customWidth="1"/>
    <col min="13586" max="13586" width="17.7109375" style="369" customWidth="1"/>
    <col min="13587" max="13824" width="9.140625" style="369"/>
    <col min="13825" max="13825" width="3.140625" style="369" customWidth="1"/>
    <col min="13826" max="13826" width="14.7109375" style="369" customWidth="1"/>
    <col min="13827" max="13827" width="11.140625" style="369" customWidth="1"/>
    <col min="13828" max="13828" width="11.28515625" style="369" customWidth="1"/>
    <col min="13829" max="13831" width="11" style="369" customWidth="1"/>
    <col min="13832" max="13832" width="11.85546875" style="369" customWidth="1"/>
    <col min="13833" max="13833" width="11.28515625" style="369" customWidth="1"/>
    <col min="13834" max="13834" width="12.140625" style="369" customWidth="1"/>
    <col min="13835" max="13835" width="2.7109375" style="369" customWidth="1"/>
    <col min="13836" max="13836" width="15.42578125" style="369" customWidth="1"/>
    <col min="13837" max="13837" width="13.5703125" style="369" customWidth="1"/>
    <col min="13838" max="13838" width="3.85546875" style="369" customWidth="1"/>
    <col min="13839" max="13841" width="15.7109375" style="369" customWidth="1"/>
    <col min="13842" max="13842" width="17.7109375" style="369" customWidth="1"/>
    <col min="13843" max="14080" width="9.140625" style="369"/>
    <col min="14081" max="14081" width="3.140625" style="369" customWidth="1"/>
    <col min="14082" max="14082" width="14.7109375" style="369" customWidth="1"/>
    <col min="14083" max="14083" width="11.140625" style="369" customWidth="1"/>
    <col min="14084" max="14084" width="11.28515625" style="369" customWidth="1"/>
    <col min="14085" max="14087" width="11" style="369" customWidth="1"/>
    <col min="14088" max="14088" width="11.85546875" style="369" customWidth="1"/>
    <col min="14089" max="14089" width="11.28515625" style="369" customWidth="1"/>
    <col min="14090" max="14090" width="12.140625" style="369" customWidth="1"/>
    <col min="14091" max="14091" width="2.7109375" style="369" customWidth="1"/>
    <col min="14092" max="14092" width="15.42578125" style="369" customWidth="1"/>
    <col min="14093" max="14093" width="13.5703125" style="369" customWidth="1"/>
    <col min="14094" max="14094" width="3.85546875" style="369" customWidth="1"/>
    <col min="14095" max="14097" width="15.7109375" style="369" customWidth="1"/>
    <col min="14098" max="14098" width="17.7109375" style="369" customWidth="1"/>
    <col min="14099" max="14336" width="9.140625" style="369"/>
    <col min="14337" max="14337" width="3.140625" style="369" customWidth="1"/>
    <col min="14338" max="14338" width="14.7109375" style="369" customWidth="1"/>
    <col min="14339" max="14339" width="11.140625" style="369" customWidth="1"/>
    <col min="14340" max="14340" width="11.28515625" style="369" customWidth="1"/>
    <col min="14341" max="14343" width="11" style="369" customWidth="1"/>
    <col min="14344" max="14344" width="11.85546875" style="369" customWidth="1"/>
    <col min="14345" max="14345" width="11.28515625" style="369" customWidth="1"/>
    <col min="14346" max="14346" width="12.140625" style="369" customWidth="1"/>
    <col min="14347" max="14347" width="2.7109375" style="369" customWidth="1"/>
    <col min="14348" max="14348" width="15.42578125" style="369" customWidth="1"/>
    <col min="14349" max="14349" width="13.5703125" style="369" customWidth="1"/>
    <col min="14350" max="14350" width="3.85546875" style="369" customWidth="1"/>
    <col min="14351" max="14353" width="15.7109375" style="369" customWidth="1"/>
    <col min="14354" max="14354" width="17.7109375" style="369" customWidth="1"/>
    <col min="14355" max="14592" width="9.140625" style="369"/>
    <col min="14593" max="14593" width="3.140625" style="369" customWidth="1"/>
    <col min="14594" max="14594" width="14.7109375" style="369" customWidth="1"/>
    <col min="14595" max="14595" width="11.140625" style="369" customWidth="1"/>
    <col min="14596" max="14596" width="11.28515625" style="369" customWidth="1"/>
    <col min="14597" max="14599" width="11" style="369" customWidth="1"/>
    <col min="14600" max="14600" width="11.85546875" style="369" customWidth="1"/>
    <col min="14601" max="14601" width="11.28515625" style="369" customWidth="1"/>
    <col min="14602" max="14602" width="12.140625" style="369" customWidth="1"/>
    <col min="14603" max="14603" width="2.7109375" style="369" customWidth="1"/>
    <col min="14604" max="14604" width="15.42578125" style="369" customWidth="1"/>
    <col min="14605" max="14605" width="13.5703125" style="369" customWidth="1"/>
    <col min="14606" max="14606" width="3.85546875" style="369" customWidth="1"/>
    <col min="14607" max="14609" width="15.7109375" style="369" customWidth="1"/>
    <col min="14610" max="14610" width="17.7109375" style="369" customWidth="1"/>
    <col min="14611" max="14848" width="9.140625" style="369"/>
    <col min="14849" max="14849" width="3.140625" style="369" customWidth="1"/>
    <col min="14850" max="14850" width="14.7109375" style="369" customWidth="1"/>
    <col min="14851" max="14851" width="11.140625" style="369" customWidth="1"/>
    <col min="14852" max="14852" width="11.28515625" style="369" customWidth="1"/>
    <col min="14853" max="14855" width="11" style="369" customWidth="1"/>
    <col min="14856" max="14856" width="11.85546875" style="369" customWidth="1"/>
    <col min="14857" max="14857" width="11.28515625" style="369" customWidth="1"/>
    <col min="14858" max="14858" width="12.140625" style="369" customWidth="1"/>
    <col min="14859" max="14859" width="2.7109375" style="369" customWidth="1"/>
    <col min="14860" max="14860" width="15.42578125" style="369" customWidth="1"/>
    <col min="14861" max="14861" width="13.5703125" style="369" customWidth="1"/>
    <col min="14862" max="14862" width="3.85546875" style="369" customWidth="1"/>
    <col min="14863" max="14865" width="15.7109375" style="369" customWidth="1"/>
    <col min="14866" max="14866" width="17.7109375" style="369" customWidth="1"/>
    <col min="14867" max="15104" width="9.140625" style="369"/>
    <col min="15105" max="15105" width="3.140625" style="369" customWidth="1"/>
    <col min="15106" max="15106" width="14.7109375" style="369" customWidth="1"/>
    <col min="15107" max="15107" width="11.140625" style="369" customWidth="1"/>
    <col min="15108" max="15108" width="11.28515625" style="369" customWidth="1"/>
    <col min="15109" max="15111" width="11" style="369" customWidth="1"/>
    <col min="15112" max="15112" width="11.85546875" style="369" customWidth="1"/>
    <col min="15113" max="15113" width="11.28515625" style="369" customWidth="1"/>
    <col min="15114" max="15114" width="12.140625" style="369" customWidth="1"/>
    <col min="15115" max="15115" width="2.7109375" style="369" customWidth="1"/>
    <col min="15116" max="15116" width="15.42578125" style="369" customWidth="1"/>
    <col min="15117" max="15117" width="13.5703125" style="369" customWidth="1"/>
    <col min="15118" max="15118" width="3.85546875" style="369" customWidth="1"/>
    <col min="15119" max="15121" width="15.7109375" style="369" customWidth="1"/>
    <col min="15122" max="15122" width="17.7109375" style="369" customWidth="1"/>
    <col min="15123" max="15360" width="9.140625" style="369"/>
    <col min="15361" max="15361" width="3.140625" style="369" customWidth="1"/>
    <col min="15362" max="15362" width="14.7109375" style="369" customWidth="1"/>
    <col min="15363" max="15363" width="11.140625" style="369" customWidth="1"/>
    <col min="15364" max="15364" width="11.28515625" style="369" customWidth="1"/>
    <col min="15365" max="15367" width="11" style="369" customWidth="1"/>
    <col min="15368" max="15368" width="11.85546875" style="369" customWidth="1"/>
    <col min="15369" max="15369" width="11.28515625" style="369" customWidth="1"/>
    <col min="15370" max="15370" width="12.140625" style="369" customWidth="1"/>
    <col min="15371" max="15371" width="2.7109375" style="369" customWidth="1"/>
    <col min="15372" max="15372" width="15.42578125" style="369" customWidth="1"/>
    <col min="15373" max="15373" width="13.5703125" style="369" customWidth="1"/>
    <col min="15374" max="15374" width="3.85546875" style="369" customWidth="1"/>
    <col min="15375" max="15377" width="15.7109375" style="369" customWidth="1"/>
    <col min="15378" max="15378" width="17.7109375" style="369" customWidth="1"/>
    <col min="15379" max="15616" width="9.140625" style="369"/>
    <col min="15617" max="15617" width="3.140625" style="369" customWidth="1"/>
    <col min="15618" max="15618" width="14.7109375" style="369" customWidth="1"/>
    <col min="15619" max="15619" width="11.140625" style="369" customWidth="1"/>
    <col min="15620" max="15620" width="11.28515625" style="369" customWidth="1"/>
    <col min="15621" max="15623" width="11" style="369" customWidth="1"/>
    <col min="15624" max="15624" width="11.85546875" style="369" customWidth="1"/>
    <col min="15625" max="15625" width="11.28515625" style="369" customWidth="1"/>
    <col min="15626" max="15626" width="12.140625" style="369" customWidth="1"/>
    <col min="15627" max="15627" width="2.7109375" style="369" customWidth="1"/>
    <col min="15628" max="15628" width="15.42578125" style="369" customWidth="1"/>
    <col min="15629" max="15629" width="13.5703125" style="369" customWidth="1"/>
    <col min="15630" max="15630" width="3.85546875" style="369" customWidth="1"/>
    <col min="15631" max="15633" width="15.7109375" style="369" customWidth="1"/>
    <col min="15634" max="15634" width="17.7109375" style="369" customWidth="1"/>
    <col min="15635" max="15872" width="9.140625" style="369"/>
    <col min="15873" max="15873" width="3.140625" style="369" customWidth="1"/>
    <col min="15874" max="15874" width="14.7109375" style="369" customWidth="1"/>
    <col min="15875" max="15875" width="11.140625" style="369" customWidth="1"/>
    <col min="15876" max="15876" width="11.28515625" style="369" customWidth="1"/>
    <col min="15877" max="15879" width="11" style="369" customWidth="1"/>
    <col min="15880" max="15880" width="11.85546875" style="369" customWidth="1"/>
    <col min="15881" max="15881" width="11.28515625" style="369" customWidth="1"/>
    <col min="15882" max="15882" width="12.140625" style="369" customWidth="1"/>
    <col min="15883" max="15883" width="2.7109375" style="369" customWidth="1"/>
    <col min="15884" max="15884" width="15.42578125" style="369" customWidth="1"/>
    <col min="15885" max="15885" width="13.5703125" style="369" customWidth="1"/>
    <col min="15886" max="15886" width="3.85546875" style="369" customWidth="1"/>
    <col min="15887" max="15889" width="15.7109375" style="369" customWidth="1"/>
    <col min="15890" max="15890" width="17.7109375" style="369" customWidth="1"/>
    <col min="15891" max="16128" width="9.140625" style="369"/>
    <col min="16129" max="16129" width="3.140625" style="369" customWidth="1"/>
    <col min="16130" max="16130" width="14.7109375" style="369" customWidth="1"/>
    <col min="16131" max="16131" width="11.140625" style="369" customWidth="1"/>
    <col min="16132" max="16132" width="11.28515625" style="369" customWidth="1"/>
    <col min="16133" max="16135" width="11" style="369" customWidth="1"/>
    <col min="16136" max="16136" width="11.85546875" style="369" customWidth="1"/>
    <col min="16137" max="16137" width="11.28515625" style="369" customWidth="1"/>
    <col min="16138" max="16138" width="12.140625" style="369" customWidth="1"/>
    <col min="16139" max="16139" width="2.7109375" style="369" customWidth="1"/>
    <col min="16140" max="16140" width="15.42578125" style="369" customWidth="1"/>
    <col min="16141" max="16141" width="13.5703125" style="369" customWidth="1"/>
    <col min="16142" max="16142" width="3.85546875" style="369" customWidth="1"/>
    <col min="16143" max="16145" width="15.7109375" style="369" customWidth="1"/>
    <col min="16146" max="16146" width="17.7109375" style="369" customWidth="1"/>
    <col min="16147" max="16384" width="9.140625" style="369"/>
  </cols>
  <sheetData>
    <row r="1" spans="2:18">
      <c r="Q1" s="370"/>
      <c r="R1" s="371"/>
    </row>
    <row r="2" spans="2:18" ht="15">
      <c r="B2" s="1170" t="s">
        <v>192</v>
      </c>
      <c r="C2" s="372" t="s">
        <v>193</v>
      </c>
      <c r="Q2" s="370"/>
      <c r="R2" s="371"/>
    </row>
    <row r="3" spans="2:18">
      <c r="B3" s="370"/>
      <c r="C3" s="372" t="s">
        <v>271</v>
      </c>
      <c r="Q3" s="373"/>
    </row>
    <row r="4" spans="2:18">
      <c r="B4" s="370"/>
      <c r="C4" s="374" t="s">
        <v>1712</v>
      </c>
    </row>
    <row r="5" spans="2:18">
      <c r="K5" s="375"/>
    </row>
    <row r="6" spans="2:18" ht="12.75" customHeight="1">
      <c r="B6" s="1660" t="s">
        <v>194</v>
      </c>
      <c r="C6" s="1663" t="s">
        <v>1713</v>
      </c>
      <c r="D6" s="1664"/>
      <c r="E6" s="1664"/>
      <c r="F6" s="1664"/>
      <c r="G6" s="1664"/>
      <c r="H6" s="1664"/>
      <c r="I6" s="1664"/>
      <c r="J6" s="1665"/>
      <c r="K6" s="376"/>
      <c r="L6" s="1660" t="s">
        <v>195</v>
      </c>
      <c r="M6" s="1660" t="s">
        <v>196</v>
      </c>
      <c r="N6" s="376"/>
      <c r="O6" s="1669" t="s">
        <v>1714</v>
      </c>
      <c r="P6" s="1670"/>
      <c r="Q6" s="1671"/>
      <c r="R6" s="1660" t="s">
        <v>197</v>
      </c>
    </row>
    <row r="7" spans="2:18">
      <c r="B7" s="1661" t="s">
        <v>197</v>
      </c>
      <c r="C7" s="1666"/>
      <c r="D7" s="1667"/>
      <c r="E7" s="1667"/>
      <c r="F7" s="1667"/>
      <c r="G7" s="1667"/>
      <c r="H7" s="1667"/>
      <c r="I7" s="1667"/>
      <c r="J7" s="1668"/>
      <c r="K7" s="376"/>
      <c r="L7" s="1661"/>
      <c r="M7" s="1661"/>
      <c r="N7" s="376"/>
      <c r="O7" s="1661" t="s">
        <v>198</v>
      </c>
      <c r="P7" s="1661" t="s">
        <v>199</v>
      </c>
      <c r="Q7" s="1661" t="s">
        <v>200</v>
      </c>
      <c r="R7" s="1661" t="s">
        <v>197</v>
      </c>
    </row>
    <row r="8" spans="2:18">
      <c r="B8" s="1661"/>
      <c r="C8" s="377"/>
      <c r="D8" s="377"/>
      <c r="E8" s="377"/>
      <c r="F8" s="377"/>
      <c r="G8" s="377"/>
      <c r="H8" s="377"/>
      <c r="I8" s="377"/>
      <c r="J8" s="377"/>
      <c r="K8" s="376"/>
      <c r="L8" s="1661"/>
      <c r="M8" s="1661"/>
      <c r="N8" s="376"/>
      <c r="O8" s="1661"/>
      <c r="P8" s="1661"/>
      <c r="Q8" s="1661"/>
      <c r="R8" s="1661"/>
    </row>
    <row r="9" spans="2:18">
      <c r="B9" s="1661"/>
      <c r="C9" s="376" t="s">
        <v>201</v>
      </c>
      <c r="D9" s="376" t="s">
        <v>202</v>
      </c>
      <c r="E9" s="376" t="s">
        <v>203</v>
      </c>
      <c r="F9" s="376" t="s">
        <v>204</v>
      </c>
      <c r="G9" s="376" t="s">
        <v>205</v>
      </c>
      <c r="H9" s="376" t="s">
        <v>206</v>
      </c>
      <c r="I9" s="376" t="s">
        <v>207</v>
      </c>
      <c r="J9" s="376" t="s">
        <v>208</v>
      </c>
      <c r="K9" s="376"/>
      <c r="L9" s="1661"/>
      <c r="M9" s="1661"/>
      <c r="N9" s="376"/>
      <c r="O9" s="1661"/>
      <c r="P9" s="1661"/>
      <c r="Q9" s="1661"/>
      <c r="R9" s="1661"/>
    </row>
    <row r="10" spans="2:18" ht="0.75" customHeight="1">
      <c r="B10" s="1662"/>
      <c r="C10" s="378"/>
      <c r="D10" s="378"/>
      <c r="E10" s="378"/>
      <c r="F10" s="378"/>
      <c r="G10" s="378"/>
      <c r="H10" s="378"/>
      <c r="I10" s="378"/>
      <c r="J10" s="378"/>
      <c r="K10" s="376"/>
      <c r="L10" s="1662"/>
      <c r="M10" s="1662"/>
      <c r="N10" s="376"/>
      <c r="O10" s="1662"/>
      <c r="P10" s="1662"/>
      <c r="Q10" s="1662"/>
      <c r="R10" s="1662"/>
    </row>
    <row r="11" spans="2:18" ht="8.1" hidden="1" customHeight="1">
      <c r="B11" s="379"/>
      <c r="C11" s="380"/>
      <c r="D11" s="380"/>
      <c r="E11" s="380"/>
      <c r="F11" s="380"/>
      <c r="G11" s="380"/>
      <c r="H11" s="380"/>
      <c r="I11" s="380"/>
      <c r="J11" s="380"/>
      <c r="K11" s="380"/>
      <c r="L11" s="380"/>
      <c r="M11" s="380"/>
      <c r="N11" s="380"/>
      <c r="P11" s="381"/>
      <c r="Q11" s="381"/>
      <c r="R11" s="382"/>
    </row>
    <row r="12" spans="2:18" hidden="1">
      <c r="B12" s="383">
        <v>1998</v>
      </c>
      <c r="C12" s="380"/>
      <c r="D12" s="380"/>
      <c r="E12" s="380"/>
      <c r="F12" s="380"/>
      <c r="G12" s="380"/>
      <c r="H12" s="380"/>
      <c r="I12" s="380"/>
      <c r="J12" s="380"/>
      <c r="K12" s="380"/>
      <c r="L12" s="380"/>
      <c r="M12" s="380"/>
      <c r="N12" s="380"/>
      <c r="P12" s="381"/>
      <c r="Q12" s="381"/>
      <c r="R12" s="384">
        <v>1998</v>
      </c>
    </row>
    <row r="13" spans="2:18" hidden="1">
      <c r="B13" s="385" t="s">
        <v>209</v>
      </c>
      <c r="C13" s="380">
        <v>655.18181818181813</v>
      </c>
      <c r="D13" s="380">
        <v>714.77272727272725</v>
      </c>
      <c r="E13" s="380">
        <v>1206.5</v>
      </c>
      <c r="F13" s="380"/>
      <c r="G13" s="380" t="e">
        <v>#N/A</v>
      </c>
      <c r="H13" s="380">
        <v>1577.409090909091</v>
      </c>
      <c r="I13" s="380">
        <v>753.31818181818187</v>
      </c>
      <c r="J13" s="380">
        <v>1452.8636363636363</v>
      </c>
      <c r="K13" s="380"/>
      <c r="L13" s="380">
        <v>955.0454545454545</v>
      </c>
      <c r="M13" s="380">
        <v>1146.9477727272731</v>
      </c>
      <c r="N13" s="380"/>
      <c r="P13" s="381">
        <v>4.6432173913043497</v>
      </c>
      <c r="Q13" s="381">
        <v>5.0585652173913038</v>
      </c>
      <c r="R13" s="386" t="s">
        <v>209</v>
      </c>
    </row>
    <row r="14" spans="2:18" hidden="1">
      <c r="B14" s="379"/>
      <c r="C14" s="380"/>
      <c r="D14" s="380"/>
      <c r="E14" s="380"/>
      <c r="F14" s="380"/>
      <c r="G14" s="380"/>
      <c r="H14" s="380"/>
      <c r="I14" s="380"/>
      <c r="J14" s="380"/>
      <c r="K14" s="380"/>
      <c r="L14" s="380"/>
      <c r="M14" s="380"/>
      <c r="N14" s="380"/>
      <c r="P14" s="381"/>
      <c r="Q14" s="381"/>
      <c r="R14" s="382"/>
    </row>
    <row r="15" spans="2:18" hidden="1">
      <c r="B15" s="383">
        <v>1999</v>
      </c>
      <c r="C15" s="380"/>
      <c r="D15" s="380"/>
      <c r="E15" s="380"/>
      <c r="F15" s="380"/>
      <c r="G15" s="380"/>
      <c r="H15" s="380"/>
      <c r="I15" s="380"/>
      <c r="J15" s="380"/>
      <c r="K15" s="380"/>
      <c r="L15" s="380"/>
      <c r="M15" s="380"/>
      <c r="N15" s="380"/>
      <c r="P15" s="381"/>
      <c r="Q15" s="381"/>
      <c r="R15" s="384">
        <v>1999</v>
      </c>
    </row>
    <row r="16" spans="2:18" hidden="1">
      <c r="B16" s="376" t="s">
        <v>210</v>
      </c>
      <c r="C16" s="380">
        <v>701.21052631578948</v>
      </c>
      <c r="D16" s="380">
        <v>827.63157894736844</v>
      </c>
      <c r="E16" s="380">
        <v>1455.9473684210527</v>
      </c>
      <c r="F16" s="380"/>
      <c r="G16" s="380">
        <v>643.26315789473688</v>
      </c>
      <c r="H16" s="380">
        <v>1904.578947368421</v>
      </c>
      <c r="I16" s="380">
        <v>769.31578947368416</v>
      </c>
      <c r="J16" s="380">
        <v>1433.7368421052631</v>
      </c>
      <c r="K16" s="380"/>
      <c r="L16" s="380">
        <v>1065.578947368421</v>
      </c>
      <c r="M16" s="380">
        <v>1204.3087368421054</v>
      </c>
      <c r="N16" s="380"/>
      <c r="P16" s="381">
        <v>4.7110952380952389</v>
      </c>
      <c r="Q16" s="381">
        <v>5.1498095238095232</v>
      </c>
      <c r="R16" s="387" t="s">
        <v>211</v>
      </c>
    </row>
    <row r="17" spans="2:18" hidden="1">
      <c r="B17" s="385" t="s">
        <v>212</v>
      </c>
      <c r="C17" s="380">
        <v>706.10526315789468</v>
      </c>
      <c r="D17" s="380">
        <v>770.9473684210526</v>
      </c>
      <c r="E17" s="380">
        <v>1320.8421052631579</v>
      </c>
      <c r="F17" s="380"/>
      <c r="G17" s="380">
        <v>609.15789473684208</v>
      </c>
      <c r="H17" s="380">
        <v>2094.9473684210525</v>
      </c>
      <c r="I17" s="380">
        <v>709.89473684210532</v>
      </c>
      <c r="J17" s="380">
        <v>1410.7368421052631</v>
      </c>
      <c r="K17" s="380"/>
      <c r="L17" s="380">
        <v>1001.7894736842105</v>
      </c>
      <c r="M17" s="380">
        <v>1135.2691052631581</v>
      </c>
      <c r="N17" s="380"/>
      <c r="P17" s="381">
        <v>5.0001499999999997</v>
      </c>
      <c r="Q17" s="381">
        <v>5.3736500000000005</v>
      </c>
      <c r="R17" s="386" t="s">
        <v>212</v>
      </c>
    </row>
    <row r="18" spans="2:18" hidden="1">
      <c r="B18" s="385" t="s">
        <v>213</v>
      </c>
      <c r="C18" s="380">
        <v>590.4</v>
      </c>
      <c r="D18" s="380">
        <v>704.7</v>
      </c>
      <c r="E18" s="380">
        <v>1196.4000000000001</v>
      </c>
      <c r="F18" s="380"/>
      <c r="G18" s="380">
        <v>559.25</v>
      </c>
      <c r="H18" s="380">
        <v>2316.0500000000002</v>
      </c>
      <c r="I18" s="380">
        <v>606.45000000000005</v>
      </c>
      <c r="J18" s="380">
        <v>1326.65</v>
      </c>
      <c r="K18" s="380"/>
      <c r="L18" s="380">
        <v>908.25</v>
      </c>
      <c r="M18" s="380">
        <v>1081.8825499999998</v>
      </c>
      <c r="N18" s="380"/>
      <c r="P18" s="381">
        <v>5.2208260869565217</v>
      </c>
      <c r="Q18" s="381">
        <v>5.5761304347826073</v>
      </c>
      <c r="R18" s="386" t="s">
        <v>213</v>
      </c>
    </row>
    <row r="19" spans="2:18" hidden="1">
      <c r="B19" s="385" t="s">
        <v>214</v>
      </c>
      <c r="C19" s="380">
        <v>522.1</v>
      </c>
      <c r="D19" s="380">
        <v>622.79999999999995</v>
      </c>
      <c r="E19" s="380">
        <v>903.65</v>
      </c>
      <c r="F19" s="380"/>
      <c r="G19" s="380">
        <v>470.9</v>
      </c>
      <c r="H19" s="380">
        <v>1692.2</v>
      </c>
      <c r="I19" s="380">
        <v>537.54999999999995</v>
      </c>
      <c r="J19" s="380">
        <v>982.75</v>
      </c>
      <c r="K19" s="380"/>
      <c r="L19" s="380">
        <v>741.95</v>
      </c>
      <c r="M19" s="380">
        <v>948.0618999999997</v>
      </c>
      <c r="N19" s="380"/>
      <c r="P19" s="381">
        <v>5.1764090909090905</v>
      </c>
      <c r="Q19" s="381">
        <v>5.5439090909090911</v>
      </c>
      <c r="R19" s="386" t="s">
        <v>215</v>
      </c>
    </row>
    <row r="20" spans="2:18" hidden="1">
      <c r="B20" s="385" t="s">
        <v>216</v>
      </c>
      <c r="C20" s="380">
        <v>553.25</v>
      </c>
      <c r="D20" s="380">
        <v>673.8</v>
      </c>
      <c r="E20" s="380">
        <v>949.85</v>
      </c>
      <c r="F20" s="380"/>
      <c r="G20" s="380">
        <v>531.79999999999995</v>
      </c>
      <c r="H20" s="380">
        <v>1635</v>
      </c>
      <c r="I20" s="380">
        <v>569.54999999999995</v>
      </c>
      <c r="J20" s="380">
        <v>881.35</v>
      </c>
      <c r="K20" s="380"/>
      <c r="L20" s="380">
        <v>767.2</v>
      </c>
      <c r="M20" s="380">
        <v>950.35799999999995</v>
      </c>
      <c r="N20" s="380"/>
      <c r="P20" s="381">
        <v>5.5376666666666674</v>
      </c>
      <c r="Q20" s="381">
        <v>5.7991904761904802</v>
      </c>
      <c r="R20" s="386" t="s">
        <v>216</v>
      </c>
    </row>
    <row r="21" spans="2:18" hidden="1">
      <c r="B21" s="385" t="s">
        <v>217</v>
      </c>
      <c r="C21" s="380">
        <v>623.85</v>
      </c>
      <c r="D21" s="380">
        <v>749.15</v>
      </c>
      <c r="E21" s="380">
        <v>985.8</v>
      </c>
      <c r="F21" s="380">
        <v>187.1</v>
      </c>
      <c r="G21" s="380">
        <v>665.85</v>
      </c>
      <c r="H21" s="380">
        <v>2047.4</v>
      </c>
      <c r="I21" s="380">
        <v>582.65</v>
      </c>
      <c r="J21" s="380">
        <v>942.5</v>
      </c>
      <c r="K21" s="380"/>
      <c r="L21" s="380">
        <v>820.1</v>
      </c>
      <c r="M21" s="380">
        <v>958.00825000000009</v>
      </c>
      <c r="N21" s="380"/>
      <c r="P21" s="381">
        <v>5.892227272727272</v>
      </c>
      <c r="Q21" s="381">
        <v>6.0392272727272731</v>
      </c>
      <c r="R21" s="386" t="s">
        <v>217</v>
      </c>
    </row>
    <row r="22" spans="2:18" hidden="1">
      <c r="B22" s="385" t="s">
        <v>218</v>
      </c>
      <c r="C22" s="380">
        <v>597.20000000000005</v>
      </c>
      <c r="D22" s="380">
        <v>866.6</v>
      </c>
      <c r="E22" s="380">
        <v>1049.45</v>
      </c>
      <c r="F22" s="380">
        <v>184.5</v>
      </c>
      <c r="G22" s="380">
        <v>685.2</v>
      </c>
      <c r="H22" s="380">
        <v>2401.65</v>
      </c>
      <c r="I22" s="380">
        <v>638.4</v>
      </c>
      <c r="J22" s="380">
        <v>1006.5</v>
      </c>
      <c r="K22" s="380"/>
      <c r="L22" s="380">
        <v>895.85</v>
      </c>
      <c r="M22" s="380">
        <v>994.16989999999964</v>
      </c>
      <c r="N22" s="380"/>
      <c r="P22" s="381">
        <v>5.7835000000000001</v>
      </c>
      <c r="Q22" s="381">
        <v>5.9782272727272732</v>
      </c>
      <c r="R22" s="386" t="s">
        <v>218</v>
      </c>
    </row>
    <row r="23" spans="2:18" hidden="1">
      <c r="B23" s="385" t="s">
        <v>219</v>
      </c>
      <c r="C23" s="380">
        <v>683.7</v>
      </c>
      <c r="D23" s="380">
        <v>840.8</v>
      </c>
      <c r="E23" s="380">
        <v>1122.6500000000001</v>
      </c>
      <c r="F23" s="380">
        <v>192.35</v>
      </c>
      <c r="G23" s="380">
        <v>693.1</v>
      </c>
      <c r="H23" s="380">
        <v>3106.1</v>
      </c>
      <c r="I23" s="380">
        <v>650.15</v>
      </c>
      <c r="J23" s="380">
        <v>1123.5999999999999</v>
      </c>
      <c r="K23" s="380"/>
      <c r="L23" s="380">
        <v>935.6</v>
      </c>
      <c r="M23" s="380">
        <v>1041.1219999999998</v>
      </c>
      <c r="N23" s="380"/>
      <c r="P23" s="381">
        <v>5.9369090909090909</v>
      </c>
      <c r="Q23" s="381">
        <v>6.0700909090909088</v>
      </c>
      <c r="R23" s="386" t="s">
        <v>220</v>
      </c>
    </row>
    <row r="24" spans="2:18" hidden="1">
      <c r="B24" s="385" t="s">
        <v>221</v>
      </c>
      <c r="C24" s="380">
        <v>637</v>
      </c>
      <c r="D24" s="380">
        <v>702.6</v>
      </c>
      <c r="E24" s="380">
        <v>1016.2</v>
      </c>
      <c r="F24" s="380">
        <v>186.6</v>
      </c>
      <c r="G24" s="380">
        <v>646.6</v>
      </c>
      <c r="H24" s="380">
        <v>4081.85</v>
      </c>
      <c r="I24" s="380">
        <v>580.35</v>
      </c>
      <c r="J24" s="380">
        <v>1036.7</v>
      </c>
      <c r="K24" s="380"/>
      <c r="L24" s="380">
        <v>842.05</v>
      </c>
      <c r="M24" s="380">
        <v>986.75514999999973</v>
      </c>
      <c r="N24" s="380"/>
      <c r="P24" s="381">
        <v>5.904454545454545</v>
      </c>
      <c r="Q24" s="381">
        <v>6.0643636363636348</v>
      </c>
      <c r="R24" s="386" t="s">
        <v>222</v>
      </c>
    </row>
    <row r="25" spans="2:18" hidden="1">
      <c r="B25" s="385" t="s">
        <v>223</v>
      </c>
      <c r="C25" s="380">
        <v>606.65</v>
      </c>
      <c r="D25" s="380">
        <v>653.6</v>
      </c>
      <c r="E25" s="380">
        <v>939.85</v>
      </c>
      <c r="F25" s="380">
        <v>159.44999999999999</v>
      </c>
      <c r="G25" s="380">
        <v>575.5</v>
      </c>
      <c r="H25" s="380">
        <v>3958.75</v>
      </c>
      <c r="I25" s="380">
        <v>545.29999999999995</v>
      </c>
      <c r="J25" s="380">
        <v>936.3</v>
      </c>
      <c r="K25" s="380"/>
      <c r="L25" s="380">
        <v>788.2</v>
      </c>
      <c r="M25" s="380">
        <v>952.2272999999999</v>
      </c>
      <c r="N25" s="380"/>
      <c r="P25" s="381">
        <v>6.1022857142857143</v>
      </c>
      <c r="Q25" s="381">
        <v>6.2585714285714289</v>
      </c>
      <c r="R25" s="386" t="s">
        <v>223</v>
      </c>
    </row>
    <row r="26" spans="2:18" hidden="1">
      <c r="B26" s="385" t="s">
        <v>224</v>
      </c>
      <c r="C26" s="380">
        <v>549.9</v>
      </c>
      <c r="D26" s="380">
        <v>634.1</v>
      </c>
      <c r="E26" s="380">
        <v>798</v>
      </c>
      <c r="F26" s="380">
        <v>155.80000000000001</v>
      </c>
      <c r="G26" s="380">
        <v>539</v>
      </c>
      <c r="H26" s="380">
        <v>3259.55</v>
      </c>
      <c r="I26" s="380">
        <v>472.15</v>
      </c>
      <c r="J26" s="380">
        <v>853.9</v>
      </c>
      <c r="K26" s="380"/>
      <c r="L26" s="380">
        <v>707.4</v>
      </c>
      <c r="M26" s="380">
        <v>858.47225000000014</v>
      </c>
      <c r="N26" s="380"/>
      <c r="P26" s="381">
        <v>6.0263636363636355</v>
      </c>
      <c r="Q26" s="381">
        <v>6.1425909090909103</v>
      </c>
      <c r="R26" s="386" t="s">
        <v>224</v>
      </c>
    </row>
    <row r="27" spans="2:18" hidden="1">
      <c r="B27" s="385" t="s">
        <v>209</v>
      </c>
      <c r="C27" s="380">
        <v>469.15</v>
      </c>
      <c r="D27" s="380">
        <v>578.85</v>
      </c>
      <c r="E27" s="380">
        <v>688.45</v>
      </c>
      <c r="F27" s="380">
        <v>145.55000000000001</v>
      </c>
      <c r="G27" s="380">
        <v>455.9</v>
      </c>
      <c r="H27" s="380">
        <v>3312.2</v>
      </c>
      <c r="I27" s="380">
        <v>382.55</v>
      </c>
      <c r="J27" s="380">
        <v>916.45</v>
      </c>
      <c r="K27" s="380"/>
      <c r="L27" s="380">
        <v>637.4</v>
      </c>
      <c r="M27" s="380">
        <v>792.77014999999994</v>
      </c>
      <c r="N27" s="380"/>
      <c r="P27" s="381">
        <v>6.2711739130434792</v>
      </c>
      <c r="Q27" s="381">
        <v>6.3530869565217394</v>
      </c>
      <c r="R27" s="386" t="s">
        <v>209</v>
      </c>
    </row>
    <row r="28" spans="2:18" hidden="1">
      <c r="B28" s="383"/>
      <c r="C28" s="380"/>
      <c r="D28" s="380"/>
      <c r="E28" s="380"/>
      <c r="F28" s="380"/>
      <c r="G28" s="380"/>
      <c r="H28" s="380"/>
      <c r="I28" s="380"/>
      <c r="J28" s="380"/>
      <c r="K28" s="380"/>
      <c r="L28" s="380"/>
      <c r="M28" s="380"/>
      <c r="N28" s="380"/>
      <c r="P28" s="381"/>
      <c r="Q28" s="381"/>
      <c r="R28" s="384"/>
    </row>
    <row r="29" spans="2:18" hidden="1">
      <c r="B29" s="383">
        <v>2000</v>
      </c>
      <c r="C29" s="380"/>
      <c r="D29" s="380"/>
      <c r="E29" s="380"/>
      <c r="F29" s="380"/>
      <c r="G29" s="380"/>
      <c r="H29" s="380"/>
      <c r="I29" s="380"/>
      <c r="J29" s="380"/>
      <c r="K29" s="380"/>
      <c r="L29" s="380"/>
      <c r="M29" s="380"/>
      <c r="N29" s="380"/>
      <c r="P29" s="381"/>
      <c r="Q29" s="381"/>
      <c r="R29" s="384">
        <v>2000</v>
      </c>
    </row>
    <row r="30" spans="2:18" hidden="1">
      <c r="B30" s="376" t="s">
        <v>210</v>
      </c>
      <c r="C30" s="380">
        <v>445.6</v>
      </c>
      <c r="D30" s="380">
        <v>557.79999999999995</v>
      </c>
      <c r="E30" s="380">
        <v>691.85</v>
      </c>
      <c r="F30" s="380">
        <v>150</v>
      </c>
      <c r="G30" s="380">
        <v>441.6</v>
      </c>
      <c r="H30" s="380">
        <v>3672.8</v>
      </c>
      <c r="I30" s="380">
        <v>395.45</v>
      </c>
      <c r="J30" s="380">
        <v>866.4</v>
      </c>
      <c r="K30" s="380"/>
      <c r="L30" s="380">
        <v>632.85</v>
      </c>
      <c r="M30" s="380">
        <v>771.59445000000005</v>
      </c>
      <c r="N30" s="380"/>
      <c r="P30" s="381">
        <v>6.6849999999999996</v>
      </c>
      <c r="Q30" s="381">
        <v>6.65</v>
      </c>
      <c r="R30" s="387" t="s">
        <v>211</v>
      </c>
    </row>
    <row r="31" spans="2:18" hidden="1">
      <c r="B31" s="385" t="s">
        <v>212</v>
      </c>
      <c r="C31" s="380">
        <v>449.5</v>
      </c>
      <c r="D31" s="380">
        <v>561.29999999999995</v>
      </c>
      <c r="E31" s="380">
        <v>701.55</v>
      </c>
      <c r="F31" s="380">
        <v>161.35</v>
      </c>
      <c r="G31" s="380">
        <v>469.35</v>
      </c>
      <c r="H31" s="380">
        <v>4043.05</v>
      </c>
      <c r="I31" s="380">
        <v>376.25</v>
      </c>
      <c r="J31" s="380">
        <v>871.7</v>
      </c>
      <c r="K31" s="380"/>
      <c r="L31" s="380">
        <v>633.54999999999995</v>
      </c>
      <c r="M31" s="380">
        <v>763.33799999999997</v>
      </c>
      <c r="N31" s="380"/>
      <c r="P31" s="381">
        <v>6.3609999999999998</v>
      </c>
      <c r="Q31" s="381">
        <v>6.0860000000000003</v>
      </c>
      <c r="R31" s="386" t="s">
        <v>212</v>
      </c>
    </row>
    <row r="32" spans="2:18" hidden="1">
      <c r="B32" s="385" t="s">
        <v>213</v>
      </c>
      <c r="C32" s="380">
        <v>445.85</v>
      </c>
      <c r="D32" s="380">
        <v>534.79999999999995</v>
      </c>
      <c r="E32" s="380">
        <v>652.54999999999995</v>
      </c>
      <c r="F32" s="380">
        <v>172.5</v>
      </c>
      <c r="G32" s="380">
        <v>522.29999999999995</v>
      </c>
      <c r="H32" s="380">
        <v>3088.4</v>
      </c>
      <c r="I32" s="380">
        <v>315.95</v>
      </c>
      <c r="J32" s="380">
        <v>831.3</v>
      </c>
      <c r="K32" s="380"/>
      <c r="L32" s="380">
        <v>584.65</v>
      </c>
      <c r="M32" s="380">
        <v>701.68468421052637</v>
      </c>
      <c r="N32" s="380"/>
      <c r="P32" s="381">
        <v>6.1909999999999998</v>
      </c>
      <c r="Q32" s="381">
        <v>5.9859999999999998</v>
      </c>
      <c r="R32" s="386" t="s">
        <v>213</v>
      </c>
    </row>
    <row r="33" spans="2:18" hidden="1">
      <c r="B33" s="385" t="s">
        <v>214</v>
      </c>
      <c r="C33" s="380">
        <v>521.78947368421052</v>
      </c>
      <c r="D33" s="380">
        <v>589.57894736842104</v>
      </c>
      <c r="E33" s="380">
        <v>746.89473684210532</v>
      </c>
      <c r="F33" s="380">
        <v>199.73684210526315</v>
      </c>
      <c r="G33" s="380">
        <v>649.47368421052636</v>
      </c>
      <c r="H33" s="380">
        <v>3372.0526315789475</v>
      </c>
      <c r="I33" s="380">
        <v>389.68421052631578</v>
      </c>
      <c r="J33" s="380">
        <v>947.36842105263156</v>
      </c>
      <c r="K33" s="380"/>
      <c r="L33" s="380">
        <v>662.84210526315792</v>
      </c>
      <c r="M33" s="380">
        <v>720.13121052631573</v>
      </c>
      <c r="N33" s="380"/>
      <c r="P33" s="381">
        <v>5.9870000000000001</v>
      </c>
      <c r="Q33" s="381">
        <v>5.827</v>
      </c>
      <c r="R33" s="386" t="s">
        <v>215</v>
      </c>
    </row>
    <row r="34" spans="2:18" hidden="1">
      <c r="B34" s="385" t="s">
        <v>216</v>
      </c>
      <c r="C34" s="380">
        <v>599.1</v>
      </c>
      <c r="D34" s="380">
        <v>686.05</v>
      </c>
      <c r="E34" s="380">
        <v>815.75</v>
      </c>
      <c r="F34" s="380">
        <v>184.2</v>
      </c>
      <c r="G34" s="380">
        <v>801.9</v>
      </c>
      <c r="H34" s="380">
        <v>4024.35</v>
      </c>
      <c r="I34" s="380">
        <v>422.75</v>
      </c>
      <c r="J34" s="380">
        <v>1042.1500000000001</v>
      </c>
      <c r="K34" s="380"/>
      <c r="L34" s="380">
        <v>736.55</v>
      </c>
      <c r="M34" s="380">
        <v>735.14595000000008</v>
      </c>
      <c r="N34" s="380"/>
      <c r="P34" s="381">
        <v>6.47</v>
      </c>
      <c r="Q34" s="381">
        <v>6.1929999999999996</v>
      </c>
      <c r="R34" s="386" t="s">
        <v>216</v>
      </c>
    </row>
    <row r="35" spans="2:18" hidden="1">
      <c r="B35" s="385" t="s">
        <v>217</v>
      </c>
      <c r="C35" s="380">
        <v>541.77272727272725</v>
      </c>
      <c r="D35" s="380">
        <v>666.5</v>
      </c>
      <c r="E35" s="380">
        <v>720.95</v>
      </c>
      <c r="F35" s="380">
        <v>220.45</v>
      </c>
      <c r="G35" s="380">
        <v>718.45</v>
      </c>
      <c r="H35" s="380">
        <v>4414.45</v>
      </c>
      <c r="I35" s="380">
        <v>395.6</v>
      </c>
      <c r="J35" s="380">
        <v>886.7</v>
      </c>
      <c r="K35" s="380"/>
      <c r="L35" s="380">
        <v>680.55</v>
      </c>
      <c r="M35" s="380">
        <v>684.43734999999992</v>
      </c>
      <c r="N35" s="380"/>
      <c r="P35" s="381">
        <v>6.1849999999999996</v>
      </c>
      <c r="Q35" s="381">
        <v>6.0410000000000004</v>
      </c>
      <c r="R35" s="386" t="s">
        <v>217</v>
      </c>
    </row>
    <row r="36" spans="2:18" hidden="1">
      <c r="B36" s="385" t="s">
        <v>218</v>
      </c>
      <c r="C36" s="380">
        <v>545.9</v>
      </c>
      <c r="D36" s="380">
        <v>641.75</v>
      </c>
      <c r="E36" s="380">
        <v>705.15</v>
      </c>
      <c r="F36" s="380">
        <v>224.55</v>
      </c>
      <c r="G36" s="380">
        <v>701.25</v>
      </c>
      <c r="H36" s="380">
        <v>3795.75</v>
      </c>
      <c r="I36" s="380">
        <v>348.7</v>
      </c>
      <c r="J36" s="380">
        <v>842.8</v>
      </c>
      <c r="K36" s="380"/>
      <c r="L36" s="380">
        <v>651.4</v>
      </c>
      <c r="M36" s="380">
        <v>655.94264999999984</v>
      </c>
      <c r="N36" s="380"/>
      <c r="P36" s="381">
        <v>6.0339999999999998</v>
      </c>
      <c r="Q36" s="381">
        <v>5.8150000000000004</v>
      </c>
      <c r="R36" s="386" t="s">
        <v>218</v>
      </c>
    </row>
    <row r="37" spans="2:18" hidden="1">
      <c r="B37" s="385" t="s">
        <v>219</v>
      </c>
      <c r="C37" s="380">
        <v>497.65</v>
      </c>
      <c r="D37" s="380">
        <v>684.25</v>
      </c>
      <c r="E37" s="380">
        <v>679.95</v>
      </c>
      <c r="F37" s="380">
        <v>184</v>
      </c>
      <c r="G37" s="380">
        <v>683.35</v>
      </c>
      <c r="H37" s="380">
        <v>2513.4</v>
      </c>
      <c r="I37" s="380">
        <v>327.8</v>
      </c>
      <c r="J37" s="380">
        <v>810.35</v>
      </c>
      <c r="K37" s="380"/>
      <c r="L37" s="380">
        <v>641.20000000000005</v>
      </c>
      <c r="M37" s="380">
        <v>636.74974999999984</v>
      </c>
      <c r="N37" s="380"/>
      <c r="P37" s="381">
        <v>5.7190000000000003</v>
      </c>
      <c r="Q37" s="381">
        <v>5.657</v>
      </c>
      <c r="R37" s="386" t="s">
        <v>220</v>
      </c>
    </row>
    <row r="38" spans="2:18" hidden="1">
      <c r="B38" s="385" t="s">
        <v>221</v>
      </c>
      <c r="C38" s="380">
        <v>596.25</v>
      </c>
      <c r="D38" s="380">
        <v>681.5</v>
      </c>
      <c r="E38" s="380">
        <v>694.4</v>
      </c>
      <c r="F38" s="380">
        <v>192.05</v>
      </c>
      <c r="G38" s="380">
        <v>718.35</v>
      </c>
      <c r="H38" s="380">
        <v>1297.05</v>
      </c>
      <c r="I38" s="380">
        <v>322.89999999999998</v>
      </c>
      <c r="J38" s="380">
        <v>780.4</v>
      </c>
      <c r="K38" s="380"/>
      <c r="L38" s="380">
        <v>626.95000000000005</v>
      </c>
      <c r="M38" s="380">
        <v>642.81025000000011</v>
      </c>
      <c r="N38" s="380"/>
      <c r="P38" s="381">
        <v>5.8479999999999999</v>
      </c>
      <c r="Q38" s="381">
        <v>5.9130000000000003</v>
      </c>
      <c r="R38" s="386" t="s">
        <v>222</v>
      </c>
    </row>
    <row r="39" spans="2:18" hidden="1">
      <c r="B39" s="385" t="s">
        <v>223</v>
      </c>
      <c r="C39" s="380">
        <v>714.23809523809518</v>
      </c>
      <c r="D39" s="380">
        <v>761.09523809523807</v>
      </c>
      <c r="E39" s="380">
        <v>744.23809523809518</v>
      </c>
      <c r="F39" s="380">
        <v>216.1904761904762</v>
      </c>
      <c r="G39" s="380">
        <v>756.38095238095241</v>
      </c>
      <c r="H39" s="380">
        <v>1300.6666666666667</v>
      </c>
      <c r="I39" s="380">
        <v>354.09523809523807</v>
      </c>
      <c r="J39" s="380">
        <v>844.42857142857144</v>
      </c>
      <c r="K39" s="380"/>
      <c r="L39" s="380">
        <v>680.95238095238096</v>
      </c>
      <c r="M39" s="380">
        <v>701.68442857142873</v>
      </c>
      <c r="N39" s="380"/>
      <c r="P39" s="381">
        <v>5.6150000000000002</v>
      </c>
      <c r="Q39" s="381">
        <v>5.7050000000000001</v>
      </c>
      <c r="R39" s="386" t="s">
        <v>223</v>
      </c>
    </row>
    <row r="40" spans="2:18" hidden="1">
      <c r="B40" s="385" t="s">
        <v>224</v>
      </c>
      <c r="C40" s="380">
        <v>745.61904761904759</v>
      </c>
      <c r="D40" s="380">
        <v>860.09523809523807</v>
      </c>
      <c r="E40" s="380">
        <v>793.90476190476193</v>
      </c>
      <c r="F40" s="380">
        <v>228.23809523809524</v>
      </c>
      <c r="G40" s="380">
        <v>794.38095238095241</v>
      </c>
      <c r="H40" s="380">
        <v>1352.5238095238096</v>
      </c>
      <c r="I40" s="380">
        <v>360.33333333333331</v>
      </c>
      <c r="J40" s="380">
        <v>884.33333333333337</v>
      </c>
      <c r="K40" s="380"/>
      <c r="L40" s="380">
        <v>728.09523809523807</v>
      </c>
      <c r="M40" s="380">
        <v>737.71495238095235</v>
      </c>
      <c r="N40" s="380"/>
      <c r="P40" s="381">
        <v>5.6120000000000001</v>
      </c>
      <c r="Q40" s="381">
        <v>5.6749999999999998</v>
      </c>
      <c r="R40" s="386" t="s">
        <v>224</v>
      </c>
    </row>
    <row r="41" spans="2:18" hidden="1">
      <c r="B41" s="385" t="s">
        <v>209</v>
      </c>
      <c r="C41" s="380">
        <v>718.9</v>
      </c>
      <c r="D41" s="380">
        <v>802.75</v>
      </c>
      <c r="E41" s="380">
        <v>772.3</v>
      </c>
      <c r="F41" s="380">
        <v>227.8</v>
      </c>
      <c r="G41" s="380">
        <v>766.6</v>
      </c>
      <c r="H41" s="380">
        <v>1451.1</v>
      </c>
      <c r="I41" s="380">
        <v>388.55</v>
      </c>
      <c r="J41" s="380">
        <v>948.3</v>
      </c>
      <c r="K41" s="380"/>
      <c r="L41" s="380">
        <v>718.9</v>
      </c>
      <c r="M41" s="380">
        <v>748.68184999999994</v>
      </c>
      <c r="N41" s="380"/>
      <c r="O41" s="388">
        <v>5.1438095238095238</v>
      </c>
      <c r="P41" s="381">
        <v>5.0060000000000002</v>
      </c>
      <c r="Q41" s="381">
        <v>5.4020000000000001</v>
      </c>
      <c r="R41" s="386" t="s">
        <v>209</v>
      </c>
    </row>
    <row r="42" spans="2:18" hidden="1">
      <c r="B42" s="385"/>
      <c r="C42" s="380"/>
      <c r="D42" s="380"/>
      <c r="E42" s="380"/>
      <c r="F42" s="380"/>
      <c r="G42" s="380"/>
      <c r="H42" s="380"/>
      <c r="I42" s="380"/>
      <c r="J42" s="380"/>
      <c r="K42" s="380"/>
      <c r="L42" s="380"/>
      <c r="M42" s="380"/>
      <c r="N42" s="380"/>
      <c r="O42" s="389"/>
      <c r="P42" s="381"/>
      <c r="Q42" s="381"/>
      <c r="R42" s="386"/>
    </row>
    <row r="43" spans="2:18" hidden="1">
      <c r="B43" s="383">
        <v>2001</v>
      </c>
      <c r="C43" s="380"/>
      <c r="D43" s="380"/>
      <c r="E43" s="380"/>
      <c r="F43" s="380"/>
      <c r="G43" s="380"/>
      <c r="H43" s="380"/>
      <c r="I43" s="380"/>
      <c r="J43" s="380"/>
      <c r="K43" s="380"/>
      <c r="L43" s="380"/>
      <c r="M43" s="380"/>
      <c r="N43" s="380"/>
      <c r="P43" s="381"/>
      <c r="Q43" s="381"/>
      <c r="R43" s="384">
        <v>2001</v>
      </c>
    </row>
    <row r="44" spans="2:18" hidden="1">
      <c r="B44" s="385" t="s">
        <v>210</v>
      </c>
      <c r="C44" s="380">
        <v>659</v>
      </c>
      <c r="D44" s="380">
        <v>701.80952380952385</v>
      </c>
      <c r="E44" s="380">
        <v>717.85714285714289</v>
      </c>
      <c r="F44" s="380">
        <v>211.04761904761904</v>
      </c>
      <c r="G44" s="380">
        <v>726.47619047619048</v>
      </c>
      <c r="H44" s="380">
        <v>1322.1428571428571</v>
      </c>
      <c r="I44" s="380">
        <v>383.90476190476193</v>
      </c>
      <c r="J44" s="380">
        <v>886.95238095238096</v>
      </c>
      <c r="K44" s="380"/>
      <c r="L44" s="380">
        <v>663.19047619047615</v>
      </c>
      <c r="M44" s="380">
        <v>692.42333333333329</v>
      </c>
      <c r="N44" s="380"/>
      <c r="O44" s="388">
        <v>0</v>
      </c>
      <c r="P44" s="381">
        <v>5.2450000000000001</v>
      </c>
      <c r="Q44" s="381">
        <v>5.5919999999999996</v>
      </c>
      <c r="R44" s="386" t="s">
        <v>211</v>
      </c>
    </row>
    <row r="45" spans="2:18" hidden="1">
      <c r="B45" s="385" t="s">
        <v>212</v>
      </c>
      <c r="C45" s="380">
        <v>651.9473684210526</v>
      </c>
      <c r="D45" s="380">
        <v>706.63157894736844</v>
      </c>
      <c r="E45" s="380">
        <v>701</v>
      </c>
      <c r="F45" s="380">
        <v>188.63157894736841</v>
      </c>
      <c r="G45" s="380">
        <v>643.10526315789468</v>
      </c>
      <c r="H45" s="380">
        <v>1246.3684210526317</v>
      </c>
      <c r="I45" s="380">
        <v>401.26315789473682</v>
      </c>
      <c r="J45" s="380">
        <v>843.68421052631584</v>
      </c>
      <c r="K45" s="380"/>
      <c r="L45" s="380">
        <v>656.68421052631584</v>
      </c>
      <c r="M45" s="380">
        <v>685.2528421052632</v>
      </c>
      <c r="N45" s="380"/>
      <c r="O45" s="388">
        <v>0</v>
      </c>
      <c r="P45" s="381">
        <v>5.1559999999999997</v>
      </c>
      <c r="Q45" s="381">
        <v>5.5279999999999996</v>
      </c>
      <c r="R45" s="386" t="s">
        <v>212</v>
      </c>
    </row>
    <row r="46" spans="2:18" hidden="1">
      <c r="B46" s="385" t="s">
        <v>213</v>
      </c>
      <c r="C46" s="380">
        <v>635.81818181818187</v>
      </c>
      <c r="D46" s="380">
        <v>847.9545454545455</v>
      </c>
      <c r="E46" s="380">
        <v>759.18181818181813</v>
      </c>
      <c r="F46" s="380">
        <v>189.72727272727272</v>
      </c>
      <c r="G46" s="380">
        <v>629.5</v>
      </c>
      <c r="H46" s="380">
        <v>1326.409090909091</v>
      </c>
      <c r="I46" s="380">
        <v>404.5</v>
      </c>
      <c r="J46" s="380">
        <v>863.68181818181813</v>
      </c>
      <c r="K46" s="380"/>
      <c r="L46" s="380">
        <v>712</v>
      </c>
      <c r="M46" s="380">
        <v>727.41086363636373</v>
      </c>
      <c r="N46" s="380"/>
      <c r="O46" s="388">
        <v>0</v>
      </c>
      <c r="P46" s="381">
        <v>4.8689999999999998</v>
      </c>
      <c r="Q46" s="381">
        <v>5.3650000000000002</v>
      </c>
      <c r="R46" s="386" t="s">
        <v>213</v>
      </c>
    </row>
    <row r="47" spans="2:18" hidden="1">
      <c r="B47" s="385" t="s">
        <v>214</v>
      </c>
      <c r="C47" s="380">
        <v>761.65</v>
      </c>
      <c r="D47" s="380">
        <v>985.65</v>
      </c>
      <c r="E47" s="380">
        <v>804.85</v>
      </c>
      <c r="F47" s="380">
        <v>176.1</v>
      </c>
      <c r="G47" s="380">
        <v>629.35</v>
      </c>
      <c r="H47" s="380">
        <v>1474.7</v>
      </c>
      <c r="I47" s="380">
        <v>374.8</v>
      </c>
      <c r="J47" s="380">
        <v>851.25</v>
      </c>
      <c r="K47" s="380"/>
      <c r="L47" s="380">
        <v>753.05</v>
      </c>
      <c r="M47" s="380">
        <v>751.58384999999987</v>
      </c>
      <c r="N47" s="380"/>
      <c r="O47" s="388">
        <v>0</v>
      </c>
      <c r="P47" s="381">
        <v>5.2089999999999996</v>
      </c>
      <c r="Q47" s="381">
        <v>5.758</v>
      </c>
      <c r="R47" s="386" t="s">
        <v>215</v>
      </c>
    </row>
    <row r="48" spans="2:18" hidden="1">
      <c r="B48" s="385" t="s">
        <v>225</v>
      </c>
      <c r="C48" s="380">
        <v>763.4545454545455</v>
      </c>
      <c r="D48" s="380">
        <v>1007.4545454545455</v>
      </c>
      <c r="E48" s="380">
        <v>834.9545454545455</v>
      </c>
      <c r="F48" s="380">
        <v>178.68181818181819</v>
      </c>
      <c r="G48" s="380">
        <v>596.4545454545455</v>
      </c>
      <c r="H48" s="380">
        <v>1366.3636363636363</v>
      </c>
      <c r="I48" s="380">
        <v>339.04545454545456</v>
      </c>
      <c r="J48" s="380">
        <v>826</v>
      </c>
      <c r="K48" s="380"/>
      <c r="L48" s="380">
        <v>751.5454545454545</v>
      </c>
      <c r="M48" s="380">
        <v>730.95054545454548</v>
      </c>
      <c r="N48" s="380"/>
      <c r="O48" s="388">
        <v>0</v>
      </c>
      <c r="P48" s="381">
        <v>5.5110000000000001</v>
      </c>
      <c r="Q48" s="381">
        <v>5.8529999999999998</v>
      </c>
      <c r="R48" s="386" t="s">
        <v>216</v>
      </c>
    </row>
    <row r="49" spans="2:18" hidden="1">
      <c r="B49" s="385" t="s">
        <v>217</v>
      </c>
      <c r="C49" s="380">
        <v>662.76190476190482</v>
      </c>
      <c r="D49" s="380">
        <v>956.23809523809518</v>
      </c>
      <c r="E49" s="380">
        <v>836.14285714285711</v>
      </c>
      <c r="F49" s="380">
        <v>178.28571428571428</v>
      </c>
      <c r="G49" s="380">
        <v>575.61904761904759</v>
      </c>
      <c r="H49" s="380">
        <v>1302.5714285714287</v>
      </c>
      <c r="I49" s="380">
        <v>314.14285714285717</v>
      </c>
      <c r="J49" s="380">
        <v>827.09523809523807</v>
      </c>
      <c r="K49" s="380"/>
      <c r="L49" s="380">
        <v>748.47619047619048</v>
      </c>
      <c r="M49" s="380">
        <v>708.5526666666666</v>
      </c>
      <c r="N49" s="380"/>
      <c r="O49" s="388">
        <v>0</v>
      </c>
      <c r="P49" s="381">
        <v>5.13</v>
      </c>
      <c r="Q49" s="381">
        <v>5.5869999999999997</v>
      </c>
      <c r="R49" s="386" t="s">
        <v>217</v>
      </c>
    </row>
    <row r="50" spans="2:18" hidden="1">
      <c r="B50" s="385" t="s">
        <v>218</v>
      </c>
      <c r="C50" s="380">
        <v>642.90476190476193</v>
      </c>
      <c r="D50" s="380">
        <v>1410.0952380952381</v>
      </c>
      <c r="E50" s="380">
        <v>936.80952380952385</v>
      </c>
      <c r="F50" s="380">
        <v>176.9047619047619</v>
      </c>
      <c r="G50" s="380">
        <v>562.95238095238096</v>
      </c>
      <c r="H50" s="380">
        <v>1387.5714285714287</v>
      </c>
      <c r="I50" s="380">
        <v>338.23809523809524</v>
      </c>
      <c r="J50" s="380">
        <v>895.47619047619048</v>
      </c>
      <c r="K50" s="380"/>
      <c r="L50" s="380">
        <v>931.42857142857144</v>
      </c>
      <c r="M50" s="380">
        <v>842.01971428571449</v>
      </c>
      <c r="N50" s="380"/>
      <c r="O50" s="388">
        <v>4.7060000000000004</v>
      </c>
      <c r="P50" s="381">
        <v>5.1820000000000004</v>
      </c>
      <c r="Q50" s="381">
        <v>5.5970000000000004</v>
      </c>
      <c r="R50" s="386" t="s">
        <v>218</v>
      </c>
    </row>
    <row r="51" spans="2:18" hidden="1">
      <c r="B51" s="385" t="s">
        <v>219</v>
      </c>
      <c r="C51" s="380">
        <v>625.60869565217388</v>
      </c>
      <c r="D51" s="380">
        <v>1501.5652173913043</v>
      </c>
      <c r="E51" s="380">
        <v>944</v>
      </c>
      <c r="F51" s="380">
        <v>183.34782608695653</v>
      </c>
      <c r="G51" s="380">
        <v>533.86956521739125</v>
      </c>
      <c r="H51" s="380">
        <v>1470.1739130434783</v>
      </c>
      <c r="I51" s="380">
        <v>343.21739130434781</v>
      </c>
      <c r="J51" s="380">
        <v>907.17391304347825</v>
      </c>
      <c r="K51" s="380"/>
      <c r="L51" s="380">
        <v>961.86956521739125</v>
      </c>
      <c r="M51" s="380">
        <v>847.9109130434781</v>
      </c>
      <c r="N51" s="380"/>
      <c r="O51" s="381">
        <v>4.4880000000000004</v>
      </c>
      <c r="P51" s="381">
        <v>4.9240000000000004</v>
      </c>
      <c r="Q51" s="381">
        <v>5.4630000000000001</v>
      </c>
      <c r="R51" s="386" t="s">
        <v>219</v>
      </c>
    </row>
    <row r="52" spans="2:18" hidden="1">
      <c r="B52" s="385" t="s">
        <v>221</v>
      </c>
      <c r="C52" s="380">
        <v>649</v>
      </c>
      <c r="D52" s="380">
        <v>687</v>
      </c>
      <c r="E52" s="380">
        <v>689</v>
      </c>
      <c r="F52" s="380">
        <v>218.47058823529412</v>
      </c>
      <c r="G52" s="380">
        <v>586.64705882352939</v>
      </c>
      <c r="H52" s="380">
        <v>1485.5294117647059</v>
      </c>
      <c r="I52" s="380">
        <v>392.52941176470586</v>
      </c>
      <c r="J52" s="380">
        <v>953.82352941176475</v>
      </c>
      <c r="K52" s="380"/>
      <c r="L52" s="380">
        <v>1025.4117647058824</v>
      </c>
      <c r="M52" s="380">
        <v>892.20311764705889</v>
      </c>
      <c r="N52" s="380"/>
      <c r="O52" s="388">
        <v>3.8690000000000002</v>
      </c>
      <c r="P52" s="381">
        <v>4.7160000000000002</v>
      </c>
      <c r="Q52" s="381">
        <v>5.5759999999999996</v>
      </c>
      <c r="R52" s="385" t="s">
        <v>221</v>
      </c>
    </row>
    <row r="53" spans="2:18" hidden="1">
      <c r="B53" s="385" t="s">
        <v>223</v>
      </c>
      <c r="C53" s="380">
        <v>665.36363636363637</v>
      </c>
      <c r="D53" s="380">
        <v>1827.6818181818182</v>
      </c>
      <c r="E53" s="380">
        <v>1162.9545454545455</v>
      </c>
      <c r="F53" s="380">
        <v>226.95454545454547</v>
      </c>
      <c r="G53" s="380">
        <v>597.68181818181813</v>
      </c>
      <c r="H53" s="380">
        <v>1539.2727272727273</v>
      </c>
      <c r="I53" s="380">
        <v>400.22727272727275</v>
      </c>
      <c r="J53" s="380">
        <v>1031.9545454545455</v>
      </c>
      <c r="K53" s="380"/>
      <c r="L53" s="380">
        <v>1121.7727272727273</v>
      </c>
      <c r="M53" s="380">
        <v>954.61318181818172</v>
      </c>
      <c r="N53" s="380"/>
      <c r="O53" s="381">
        <v>3.7570000000000001</v>
      </c>
      <c r="P53" s="381">
        <v>4.5510000000000002</v>
      </c>
      <c r="Q53" s="381">
        <v>5.2969999999999997</v>
      </c>
      <c r="R53" s="386" t="s">
        <v>223</v>
      </c>
    </row>
    <row r="54" spans="2:18" hidden="1">
      <c r="B54" s="385" t="s">
        <v>224</v>
      </c>
      <c r="C54" s="380">
        <v>590.6</v>
      </c>
      <c r="D54" s="380">
        <v>2767.95</v>
      </c>
      <c r="E54" s="380">
        <v>1001.95</v>
      </c>
      <c r="F54" s="380">
        <v>202.9</v>
      </c>
      <c r="G54" s="380">
        <v>557.65</v>
      </c>
      <c r="H54" s="380">
        <v>1410.15</v>
      </c>
      <c r="I54" s="380">
        <v>363.55</v>
      </c>
      <c r="J54" s="380">
        <v>1052.2</v>
      </c>
      <c r="K54" s="380"/>
      <c r="L54" s="380">
        <v>1214</v>
      </c>
      <c r="M54" s="380">
        <v>979.59190000000012</v>
      </c>
      <c r="N54" s="380"/>
      <c r="O54" s="381">
        <v>4.4029999999999996</v>
      </c>
      <c r="P54" s="381">
        <v>5.0149999999999997</v>
      </c>
      <c r="Q54" s="381">
        <v>5.3810000000000002</v>
      </c>
      <c r="R54" s="386" t="s">
        <v>224</v>
      </c>
    </row>
    <row r="55" spans="2:18" hidden="1">
      <c r="B55" s="385" t="s">
        <v>209</v>
      </c>
      <c r="C55" s="380">
        <v>649</v>
      </c>
      <c r="D55" s="390">
        <v>1452</v>
      </c>
      <c r="E55" s="380">
        <v>939</v>
      </c>
      <c r="F55" s="380">
        <v>183</v>
      </c>
      <c r="G55" s="380">
        <v>531</v>
      </c>
      <c r="H55" s="390">
        <v>1488</v>
      </c>
      <c r="I55" s="380">
        <v>343</v>
      </c>
      <c r="J55" s="390">
        <v>910</v>
      </c>
      <c r="K55" s="380"/>
      <c r="L55" s="380">
        <v>950</v>
      </c>
      <c r="M55" s="380">
        <v>841.85199999999998</v>
      </c>
      <c r="N55" s="380"/>
      <c r="O55" s="381">
        <v>4.4569999999999999</v>
      </c>
      <c r="P55" s="381">
        <v>5.1360000000000001</v>
      </c>
      <c r="Q55" s="381">
        <v>5.49</v>
      </c>
      <c r="R55" s="386" t="s">
        <v>226</v>
      </c>
    </row>
    <row r="56" spans="2:18" hidden="1">
      <c r="B56" s="385"/>
      <c r="C56" s="380"/>
      <c r="D56" s="390"/>
      <c r="E56" s="380"/>
      <c r="F56" s="380"/>
      <c r="G56" s="380"/>
      <c r="H56" s="390"/>
      <c r="I56" s="380"/>
      <c r="J56" s="390"/>
      <c r="K56" s="380"/>
      <c r="L56" s="380"/>
      <c r="M56" s="380"/>
      <c r="N56" s="380"/>
      <c r="O56" s="388"/>
      <c r="P56" s="381"/>
      <c r="Q56" s="381"/>
      <c r="R56" s="386"/>
    </row>
    <row r="57" spans="2:18" hidden="1">
      <c r="B57" s="383">
        <v>2002</v>
      </c>
      <c r="C57" s="380"/>
      <c r="D57" s="390"/>
      <c r="E57" s="380"/>
      <c r="F57" s="380"/>
      <c r="G57" s="380"/>
      <c r="H57" s="390"/>
      <c r="I57" s="380"/>
      <c r="J57" s="390"/>
      <c r="K57" s="380"/>
      <c r="L57" s="380"/>
      <c r="M57" s="380"/>
      <c r="N57" s="380"/>
      <c r="O57" s="388"/>
      <c r="P57" s="381"/>
      <c r="Q57" s="381"/>
      <c r="R57" s="384">
        <v>2002</v>
      </c>
    </row>
    <row r="58" spans="2:18" hidden="1">
      <c r="B58" s="385" t="s">
        <v>210</v>
      </c>
      <c r="C58" s="380">
        <v>481.42857142857144</v>
      </c>
      <c r="D58" s="380">
        <v>5337.6190476190477</v>
      </c>
      <c r="E58" s="380">
        <v>843.76190476190482</v>
      </c>
      <c r="F58" s="380">
        <v>174.85714285714286</v>
      </c>
      <c r="G58" s="380">
        <v>540.61904761904759</v>
      </c>
      <c r="H58" s="380">
        <v>1144.7619047619048</v>
      </c>
      <c r="I58" s="380">
        <v>302.61904761904759</v>
      </c>
      <c r="J58" s="380">
        <v>1147.8095238095239</v>
      </c>
      <c r="K58" s="380"/>
      <c r="L58" s="380">
        <v>874.14285714285711</v>
      </c>
      <c r="M58" s="380">
        <v>707.72828571428579</v>
      </c>
      <c r="N58" s="380"/>
      <c r="O58" s="388">
        <v>4.277304347826087</v>
      </c>
      <c r="P58" s="381">
        <v>4.9915652173913037</v>
      </c>
      <c r="Q58" s="381">
        <v>5.4380869565217385</v>
      </c>
      <c r="R58" s="386" t="s">
        <v>211</v>
      </c>
    </row>
    <row r="59" spans="2:18" hidden="1">
      <c r="B59" s="385" t="s">
        <v>212</v>
      </c>
      <c r="C59" s="380">
        <v>478.4736842105263</v>
      </c>
      <c r="D59" s="380">
        <v>4272.2105263157891</v>
      </c>
      <c r="E59" s="380">
        <v>842.31578947368416</v>
      </c>
      <c r="F59" s="380">
        <v>168.21052631578948</v>
      </c>
      <c r="G59" s="380">
        <v>582.47368421052636</v>
      </c>
      <c r="H59" s="380">
        <v>1151.7894736842106</v>
      </c>
      <c r="I59" s="380">
        <v>281.36842105263156</v>
      </c>
      <c r="J59" s="380">
        <v>1162.7894736842106</v>
      </c>
      <c r="K59" s="380"/>
      <c r="L59" s="380">
        <v>778.9473684210526</v>
      </c>
      <c r="M59" s="380">
        <v>650.05752631578946</v>
      </c>
      <c r="N59" s="380"/>
      <c r="O59" s="381">
        <v>4.2079000000000004</v>
      </c>
      <c r="P59" s="381">
        <v>4.9002999999999997</v>
      </c>
      <c r="Q59" s="381">
        <v>5.3883999999999999</v>
      </c>
      <c r="R59" s="386" t="s">
        <v>212</v>
      </c>
    </row>
    <row r="60" spans="2:18" hidden="1">
      <c r="B60" s="385" t="s">
        <v>213</v>
      </c>
      <c r="C60" s="380">
        <v>414.85</v>
      </c>
      <c r="D60" s="380">
        <v>4760.3999999999996</v>
      </c>
      <c r="E60" s="380">
        <v>731.65</v>
      </c>
      <c r="F60" s="380">
        <v>136.05000000000001</v>
      </c>
      <c r="G60" s="380">
        <v>539.79999999999995</v>
      </c>
      <c r="H60" s="380">
        <v>1089.45</v>
      </c>
      <c r="I60" s="380">
        <v>247.95</v>
      </c>
      <c r="J60" s="380">
        <v>943.1</v>
      </c>
      <c r="L60" s="380">
        <v>702.3</v>
      </c>
      <c r="M60" s="380">
        <v>582.07294999999988</v>
      </c>
      <c r="N60" s="380"/>
      <c r="O60" s="381">
        <v>4.6588095238095244</v>
      </c>
      <c r="P60" s="381">
        <v>5.280095238095238</v>
      </c>
      <c r="Q60" s="381">
        <v>5.7143809523809539</v>
      </c>
      <c r="R60" s="386" t="s">
        <v>213</v>
      </c>
    </row>
    <row r="61" spans="2:18" hidden="1">
      <c r="B61" s="385" t="s">
        <v>214</v>
      </c>
      <c r="C61" s="380">
        <v>434.81818181818181</v>
      </c>
      <c r="D61" s="380">
        <v>4836.954545454545</v>
      </c>
      <c r="E61" s="380">
        <v>754.77272727272725</v>
      </c>
      <c r="F61" s="380">
        <v>125.04545454545455</v>
      </c>
      <c r="G61" s="380">
        <v>544.31818181818187</v>
      </c>
      <c r="H61" s="380">
        <v>1001.2272727272727</v>
      </c>
      <c r="I61" s="380">
        <v>242.54545454545453</v>
      </c>
      <c r="J61" s="380">
        <v>893.81818181818187</v>
      </c>
      <c r="L61" s="380">
        <v>699.4545454545455</v>
      </c>
      <c r="M61" s="380">
        <v>573.27086363636363</v>
      </c>
      <c r="N61" s="380"/>
      <c r="O61" s="381">
        <v>4.5458181818181833</v>
      </c>
      <c r="P61" s="381">
        <v>5.1972727272727273</v>
      </c>
      <c r="Q61" s="381">
        <v>5.6761363636363633</v>
      </c>
      <c r="R61" s="386" t="s">
        <v>215</v>
      </c>
    </row>
    <row r="62" spans="2:18" hidden="1">
      <c r="B62" s="385" t="s">
        <v>216</v>
      </c>
      <c r="C62" s="380">
        <v>506.45454545454544</v>
      </c>
      <c r="D62" s="380">
        <v>5378.090909090909</v>
      </c>
      <c r="E62" s="380">
        <v>939.22727272727275</v>
      </c>
      <c r="F62" s="380">
        <v>139.90909090909091</v>
      </c>
      <c r="G62" s="380">
        <v>545.40909090909088</v>
      </c>
      <c r="H62" s="380">
        <v>1115.409090909091</v>
      </c>
      <c r="I62" s="380">
        <v>258.18181818181819</v>
      </c>
      <c r="J62" s="380">
        <v>876.5454545454545</v>
      </c>
      <c r="L62" s="380">
        <v>776.72727272727275</v>
      </c>
      <c r="M62" s="380">
        <v>611.38390909090901</v>
      </c>
      <c r="N62" s="380"/>
      <c r="O62" s="381">
        <v>4.456999999999999</v>
      </c>
      <c r="P62" s="381">
        <v>5.137391304347827</v>
      </c>
      <c r="Q62" s="381">
        <v>5.6421739130434796</v>
      </c>
      <c r="R62" s="386" t="s">
        <v>216</v>
      </c>
    </row>
    <row r="63" spans="2:18" hidden="1">
      <c r="B63" s="385" t="s">
        <v>217</v>
      </c>
      <c r="C63" s="380">
        <v>566.65</v>
      </c>
      <c r="D63" s="380">
        <v>6258.25</v>
      </c>
      <c r="E63" s="380">
        <v>1367.85</v>
      </c>
      <c r="F63" s="380">
        <v>168.75</v>
      </c>
      <c r="G63" s="380">
        <v>572.20000000000005</v>
      </c>
      <c r="H63" s="380">
        <v>1312.15</v>
      </c>
      <c r="I63" s="380">
        <v>301.8</v>
      </c>
      <c r="J63" s="380">
        <v>1058.5</v>
      </c>
      <c r="L63" s="380">
        <v>954.2</v>
      </c>
      <c r="M63" s="380">
        <v>715.01900000000001</v>
      </c>
      <c r="N63" s="380"/>
      <c r="O63" s="381">
        <v>4.1518499999999996</v>
      </c>
      <c r="P63" s="381">
        <v>4.8885000000000005</v>
      </c>
      <c r="Q63" s="381">
        <v>5.5126499999999998</v>
      </c>
      <c r="R63" s="386" t="s">
        <v>217</v>
      </c>
    </row>
    <row r="64" spans="2:18" hidden="1">
      <c r="B64" s="385" t="s">
        <v>218</v>
      </c>
      <c r="C64" s="380">
        <v>719.90909090909088</v>
      </c>
      <c r="D64" s="380">
        <v>6847</v>
      </c>
      <c r="E64" s="380">
        <v>1766.0454545454545</v>
      </c>
      <c r="F64" s="380">
        <v>202.36363636363637</v>
      </c>
      <c r="G64" s="380">
        <v>689.5454545454545</v>
      </c>
      <c r="H64" s="380">
        <v>1390.1818181818182</v>
      </c>
      <c r="I64" s="380">
        <v>342.5</v>
      </c>
      <c r="J64" s="380">
        <v>1189.409090909091</v>
      </c>
      <c r="L64" s="380">
        <v>1112.0454545454545</v>
      </c>
      <c r="M64" s="380">
        <v>805.18145454545447</v>
      </c>
      <c r="N64" s="380"/>
      <c r="O64" s="381">
        <v>3.7436086956521741</v>
      </c>
      <c r="P64" s="381">
        <v>4.6123913043478266</v>
      </c>
      <c r="Q64" s="381">
        <v>5.3873478260869572</v>
      </c>
      <c r="R64" s="386" t="s">
        <v>218</v>
      </c>
    </row>
    <row r="65" spans="2:21" hidden="1">
      <c r="B65" s="385" t="s">
        <v>219</v>
      </c>
      <c r="C65" s="380">
        <v>816.27272727272725</v>
      </c>
      <c r="D65" s="380">
        <v>6707.409090909091</v>
      </c>
      <c r="E65" s="380">
        <v>2001.090909090909</v>
      </c>
      <c r="F65" s="380">
        <v>211.54545454545453</v>
      </c>
      <c r="G65" s="380">
        <v>874.31818181818187</v>
      </c>
      <c r="H65" s="380">
        <v>1744.090909090909</v>
      </c>
      <c r="I65" s="380">
        <v>379.18181818181819</v>
      </c>
      <c r="J65" s="380">
        <v>1091.8636363636363</v>
      </c>
      <c r="L65" s="380">
        <v>1202.590909090909</v>
      </c>
      <c r="M65" s="380">
        <v>859.18081818181793</v>
      </c>
      <c r="N65" s="380"/>
      <c r="O65" s="381">
        <v>3.2737727272727271</v>
      </c>
      <c r="P65" s="381">
        <v>4.2415000000000003</v>
      </c>
      <c r="Q65" s="381">
        <v>5.0735909090909086</v>
      </c>
      <c r="R65" s="386" t="s">
        <v>220</v>
      </c>
    </row>
    <row r="66" spans="2:21" hidden="1">
      <c r="B66" s="385" t="s">
        <v>221</v>
      </c>
      <c r="C66" s="380">
        <v>805.9</v>
      </c>
      <c r="D66" s="380">
        <v>6285.85</v>
      </c>
      <c r="E66" s="380">
        <v>1953.85</v>
      </c>
      <c r="F66" s="380">
        <v>199.7</v>
      </c>
      <c r="G66" s="380">
        <v>985.95</v>
      </c>
      <c r="H66" s="380">
        <v>1779.35</v>
      </c>
      <c r="I66" s="380">
        <v>403</v>
      </c>
      <c r="J66" s="380">
        <v>1093.8499999999999</v>
      </c>
      <c r="L66" s="380">
        <v>1204.4000000000001</v>
      </c>
      <c r="M66" s="380">
        <v>869.30269999999996</v>
      </c>
      <c r="N66" s="380"/>
      <c r="O66" s="381">
        <v>2.9180000000000001</v>
      </c>
      <c r="P66" s="381">
        <v>3.8686666666666669</v>
      </c>
      <c r="Q66" s="381">
        <v>4.7686190476190466</v>
      </c>
      <c r="R66" s="386" t="s">
        <v>222</v>
      </c>
    </row>
    <row r="67" spans="2:21" hidden="1">
      <c r="B67" s="385" t="s">
        <v>223</v>
      </c>
      <c r="C67" s="380">
        <v>813.90909090909088</v>
      </c>
      <c r="D67" s="380">
        <v>6337.636363636364</v>
      </c>
      <c r="E67" s="380">
        <v>2057.3636363636365</v>
      </c>
      <c r="F67" s="380">
        <v>227.63636363636363</v>
      </c>
      <c r="G67" s="380">
        <v>940.59090909090912</v>
      </c>
      <c r="H67" s="380">
        <v>2001.090909090909</v>
      </c>
      <c r="I67" s="380">
        <v>385.95454545454544</v>
      </c>
      <c r="J67" s="380">
        <v>1100.9545454545455</v>
      </c>
      <c r="L67" s="380">
        <v>1201.590909090909</v>
      </c>
      <c r="M67" s="380">
        <v>860.029</v>
      </c>
      <c r="N67" s="380"/>
      <c r="O67" s="388">
        <v>2.8791739130434784</v>
      </c>
      <c r="P67" s="381">
        <v>3.9119565217391301</v>
      </c>
      <c r="Q67" s="381">
        <v>4.9229565217391311</v>
      </c>
      <c r="R67" s="386" t="s">
        <v>223</v>
      </c>
    </row>
    <row r="68" spans="2:21" hidden="1">
      <c r="B68" s="385" t="s">
        <v>224</v>
      </c>
      <c r="C68" s="380">
        <v>672.10526315789468</v>
      </c>
      <c r="D68" s="380">
        <v>6083.0526315789475</v>
      </c>
      <c r="E68" s="380">
        <v>1711.0526315789473</v>
      </c>
      <c r="F68" s="380">
        <v>197.89473684210526</v>
      </c>
      <c r="G68" s="380">
        <v>746.26315789473688</v>
      </c>
      <c r="H68" s="380">
        <v>1786.9473684210527</v>
      </c>
      <c r="I68" s="380">
        <v>347.15789473684208</v>
      </c>
      <c r="J68" s="380">
        <v>1027.421052631579</v>
      </c>
      <c r="L68" s="380">
        <v>1072.5263157894738</v>
      </c>
      <c r="M68" s="380">
        <v>770.79484210526311</v>
      </c>
      <c r="N68" s="380"/>
      <c r="O68" s="388">
        <v>3.0381904761904761</v>
      </c>
      <c r="P68" s="381">
        <v>4.0409999999999995</v>
      </c>
      <c r="Q68" s="381">
        <v>4.954714285714287</v>
      </c>
      <c r="R68" s="386" t="s">
        <v>224</v>
      </c>
    </row>
    <row r="69" spans="2:21" hidden="1">
      <c r="B69" s="385" t="s">
        <v>209</v>
      </c>
      <c r="C69" s="380">
        <v>619.66666666666663</v>
      </c>
      <c r="D69" s="380">
        <v>6181.4761904761908</v>
      </c>
      <c r="E69" s="380">
        <v>1540.1428571428571</v>
      </c>
      <c r="F69" s="380">
        <v>167.9047619047619</v>
      </c>
      <c r="G69" s="380">
        <v>653.33333333333337</v>
      </c>
      <c r="H69" s="380">
        <v>1795.2380952380952</v>
      </c>
      <c r="I69" s="380">
        <v>311.8095238095238</v>
      </c>
      <c r="J69" s="380">
        <v>1037.047619047619</v>
      </c>
      <c r="L69" s="380">
        <v>1002</v>
      </c>
      <c r="M69" s="380">
        <v>725.05161904761917</v>
      </c>
      <c r="N69" s="380"/>
      <c r="O69" s="381">
        <v>2.9951363636363637</v>
      </c>
      <c r="P69" s="381">
        <v>4.0184545454545457</v>
      </c>
      <c r="Q69" s="381">
        <v>4.9187272727272724</v>
      </c>
      <c r="R69" s="386" t="s">
        <v>226</v>
      </c>
    </row>
    <row r="70" spans="2:21" hidden="1">
      <c r="B70" s="385"/>
      <c r="C70" s="380"/>
      <c r="D70" s="390"/>
      <c r="E70" s="390"/>
      <c r="F70" s="390"/>
      <c r="G70" s="380"/>
      <c r="H70" s="390"/>
      <c r="I70" s="380"/>
      <c r="J70" s="390"/>
      <c r="K70" s="380"/>
      <c r="L70" s="380"/>
      <c r="M70" s="380"/>
      <c r="N70" s="380"/>
      <c r="O70" s="389"/>
      <c r="P70" s="381"/>
      <c r="Q70" s="381"/>
      <c r="R70" s="386"/>
    </row>
    <row r="71" spans="2:21" hidden="1">
      <c r="B71" s="383">
        <v>2003</v>
      </c>
      <c r="C71" s="380"/>
      <c r="D71" s="390"/>
      <c r="E71" s="390"/>
      <c r="F71" s="390"/>
      <c r="G71" s="380"/>
      <c r="H71" s="390"/>
      <c r="I71" s="380"/>
      <c r="J71" s="390"/>
      <c r="K71" s="380"/>
      <c r="L71" s="380"/>
      <c r="M71" s="380"/>
      <c r="N71" s="380"/>
      <c r="O71" s="389"/>
      <c r="P71" s="381"/>
      <c r="R71" s="384">
        <v>2003</v>
      </c>
    </row>
    <row r="72" spans="2:21" hidden="1">
      <c r="B72" s="385" t="s">
        <v>210</v>
      </c>
      <c r="C72" s="380">
        <v>569.75</v>
      </c>
      <c r="D72" s="380">
        <v>5983.1578947368425</v>
      </c>
      <c r="E72" s="380">
        <v>1333.8</v>
      </c>
      <c r="F72" s="380">
        <v>168.2</v>
      </c>
      <c r="G72" s="380">
        <v>630.29999999999995</v>
      </c>
      <c r="H72" s="380">
        <v>1599.7</v>
      </c>
      <c r="I72" s="380">
        <v>309.95</v>
      </c>
      <c r="J72" s="380">
        <v>1335.35</v>
      </c>
      <c r="K72" s="380"/>
      <c r="L72" s="380">
        <v>941.75</v>
      </c>
      <c r="M72" s="380">
        <v>685.86450000000002</v>
      </c>
      <c r="N72" s="380"/>
      <c r="O72" s="388">
        <v>2.9700869565217385</v>
      </c>
      <c r="P72" s="388">
        <v>4.0119130434782608</v>
      </c>
      <c r="Q72" s="388">
        <v>4.9283478260869558</v>
      </c>
      <c r="R72" s="386" t="s">
        <v>211</v>
      </c>
    </row>
    <row r="73" spans="2:21" hidden="1">
      <c r="B73" s="385" t="s">
        <v>212</v>
      </c>
      <c r="C73" s="380">
        <v>562.89473684210532</v>
      </c>
      <c r="D73" s="380">
        <v>6235</v>
      </c>
      <c r="E73" s="380">
        <v>1307.7368421052631</v>
      </c>
      <c r="F73" s="380">
        <v>164.42105263157896</v>
      </c>
      <c r="G73" s="380">
        <v>683.15789473684208</v>
      </c>
      <c r="H73" s="380">
        <v>1525.3157894736842</v>
      </c>
      <c r="I73" s="380">
        <v>322.5263157894737</v>
      </c>
      <c r="J73" s="380">
        <v>1363.8421052631579</v>
      </c>
      <c r="K73" s="380"/>
      <c r="L73" s="380">
        <v>948.78947368421052</v>
      </c>
      <c r="M73" s="380">
        <v>679.62821052631591</v>
      </c>
      <c r="N73" s="380"/>
      <c r="O73" s="388">
        <v>3.1219999999999999</v>
      </c>
      <c r="P73" s="391">
        <v>5.2859999999999996</v>
      </c>
      <c r="Q73" s="381">
        <v>5.7329999999999997</v>
      </c>
      <c r="R73" s="386" t="s">
        <v>212</v>
      </c>
      <c r="U73" s="392"/>
    </row>
    <row r="74" spans="2:21" hidden="1">
      <c r="B74" s="385" t="s">
        <v>213</v>
      </c>
      <c r="C74" s="380">
        <v>509.66666666666669</v>
      </c>
      <c r="D74" s="380">
        <v>6560.0476190476193</v>
      </c>
      <c r="E74" s="380">
        <v>1096.7619047619048</v>
      </c>
      <c r="F74" s="380">
        <v>166.47619047619048</v>
      </c>
      <c r="G74" s="380">
        <v>629.71428571428567</v>
      </c>
      <c r="H74" s="380">
        <v>1450.1904761904761</v>
      </c>
      <c r="I74" s="380">
        <v>298.95238095238096</v>
      </c>
      <c r="J74" s="380">
        <v>1333.6190476190477</v>
      </c>
      <c r="K74" s="380"/>
      <c r="L74" s="380">
        <v>844.09523809523807</v>
      </c>
      <c r="M74" s="380">
        <v>641.12880952380965</v>
      </c>
      <c r="N74" s="380"/>
      <c r="O74" s="388">
        <v>2.751095238095238</v>
      </c>
      <c r="P74" s="388">
        <v>3.7946666666666666</v>
      </c>
      <c r="Q74" s="388">
        <v>4.7977619047619049</v>
      </c>
      <c r="R74" s="386" t="s">
        <v>213</v>
      </c>
    </row>
    <row r="75" spans="2:21" hidden="1">
      <c r="B75" s="385" t="s">
        <v>214</v>
      </c>
      <c r="C75" s="380">
        <v>426.8095238095238</v>
      </c>
      <c r="D75" s="380">
        <v>5365.0952380952385</v>
      </c>
      <c r="E75" s="380">
        <v>901.61904761904759</v>
      </c>
      <c r="F75" s="380">
        <v>141.33333333333334</v>
      </c>
      <c r="G75" s="380">
        <v>530.04761904761904</v>
      </c>
      <c r="H75" s="380">
        <v>1225.3809523809523</v>
      </c>
      <c r="I75" s="380">
        <v>258.66666666666669</v>
      </c>
      <c r="J75" s="380">
        <v>1269.7619047619048</v>
      </c>
      <c r="K75" s="380"/>
      <c r="L75" s="380">
        <v>732.23809523809518</v>
      </c>
      <c r="M75" s="380">
        <v>572.79695238095246</v>
      </c>
      <c r="N75" s="380"/>
      <c r="O75" s="388">
        <v>2.8683181818181818</v>
      </c>
      <c r="P75" s="388">
        <v>3.936363636363637</v>
      </c>
      <c r="Q75" s="388">
        <v>4.8960909090909093</v>
      </c>
      <c r="R75" s="386" t="s">
        <v>215</v>
      </c>
    </row>
    <row r="76" spans="2:21" hidden="1">
      <c r="B76" s="385" t="s">
        <v>216</v>
      </c>
      <c r="C76" s="380">
        <v>413.75</v>
      </c>
      <c r="D76" s="380">
        <v>5146.5</v>
      </c>
      <c r="E76" s="380">
        <v>785.5</v>
      </c>
      <c r="F76" s="380">
        <v>126.2</v>
      </c>
      <c r="G76" s="380">
        <v>468.85</v>
      </c>
      <c r="H76" s="380">
        <v>1108.95</v>
      </c>
      <c r="I76" s="380">
        <v>228.65</v>
      </c>
      <c r="J76" s="380">
        <v>1141.4000000000001</v>
      </c>
      <c r="K76" s="380"/>
      <c r="L76" s="380">
        <v>663</v>
      </c>
      <c r="M76" s="380">
        <v>521.76525000000004</v>
      </c>
      <c r="N76" s="380"/>
      <c r="O76" s="388">
        <v>2.4784999999999999</v>
      </c>
      <c r="P76" s="388">
        <v>3.544363636363637</v>
      </c>
      <c r="Q76" s="388">
        <v>4.5157272727272719</v>
      </c>
      <c r="R76" s="386" t="s">
        <v>216</v>
      </c>
      <c r="U76" s="393"/>
    </row>
    <row r="77" spans="2:21" hidden="1">
      <c r="B77" s="385" t="s">
        <v>217</v>
      </c>
      <c r="C77" s="380">
        <v>459.52380952380952</v>
      </c>
      <c r="D77" s="380">
        <v>4634.8571428571431</v>
      </c>
      <c r="E77" s="380">
        <v>751.95238095238096</v>
      </c>
      <c r="F77" s="380">
        <v>129.0952380952381</v>
      </c>
      <c r="G77" s="380">
        <v>457.8095238095238</v>
      </c>
      <c r="H77" s="380">
        <v>1105.0952380952381</v>
      </c>
      <c r="I77" s="380">
        <v>232.23809523809524</v>
      </c>
      <c r="J77" s="380">
        <v>984.66666666666663</v>
      </c>
      <c r="K77" s="380"/>
      <c r="L77" s="380">
        <v>644.23809523809518</v>
      </c>
      <c r="M77" s="380">
        <v>502.19128571428564</v>
      </c>
      <c r="N77" s="380"/>
      <c r="O77" s="388">
        <v>2.2319047619047625</v>
      </c>
      <c r="P77" s="388">
        <v>3.3222857142857145</v>
      </c>
      <c r="Q77" s="388">
        <v>4.374523809523807</v>
      </c>
      <c r="R77" s="386" t="s">
        <v>217</v>
      </c>
    </row>
    <row r="78" spans="2:21" hidden="1">
      <c r="B78" s="385" t="s">
        <v>218</v>
      </c>
      <c r="C78" s="380">
        <v>482.04545454545456</v>
      </c>
      <c r="D78" s="380">
        <v>4748.363636363636</v>
      </c>
      <c r="E78" s="380">
        <v>776.13636363636363</v>
      </c>
      <c r="F78" s="380">
        <v>120.59090909090909</v>
      </c>
      <c r="G78" s="380">
        <v>462.09090909090907</v>
      </c>
      <c r="H78" s="380">
        <v>1172.2727272727273</v>
      </c>
      <c r="I78" s="380">
        <v>235.81818181818181</v>
      </c>
      <c r="J78" s="380">
        <v>919.9545454545455</v>
      </c>
      <c r="K78" s="380"/>
      <c r="L78" s="380">
        <v>654.86363636363637</v>
      </c>
      <c r="M78" s="380">
        <v>509.73190909090903</v>
      </c>
      <c r="N78" s="380"/>
      <c r="O78" s="388">
        <v>2.7842608695652173</v>
      </c>
      <c r="P78" s="388">
        <v>3.9389565217391307</v>
      </c>
      <c r="Q78" s="388">
        <v>4.9165652173913044</v>
      </c>
      <c r="R78" s="386" t="s">
        <v>218</v>
      </c>
    </row>
    <row r="79" spans="2:21" hidden="1">
      <c r="B79" s="385" t="s">
        <v>219</v>
      </c>
      <c r="C79" s="380">
        <v>422.1</v>
      </c>
      <c r="D79" s="380">
        <v>5022.05</v>
      </c>
      <c r="E79" s="380">
        <v>773.7</v>
      </c>
      <c r="F79" s="380">
        <v>118.2</v>
      </c>
      <c r="G79" s="380">
        <v>451.15</v>
      </c>
      <c r="H79" s="380">
        <v>1162.25</v>
      </c>
      <c r="I79" s="380">
        <v>234</v>
      </c>
      <c r="J79" s="380">
        <v>832.75</v>
      </c>
      <c r="K79" s="380"/>
      <c r="L79" s="380">
        <v>651.20000000000005</v>
      </c>
      <c r="M79" s="380">
        <v>502.23024999999996</v>
      </c>
      <c r="N79" s="380"/>
      <c r="O79" s="381">
        <v>3.33</v>
      </c>
      <c r="P79" s="381">
        <v>4.42</v>
      </c>
      <c r="Q79" s="381">
        <v>5.2950476190476197</v>
      </c>
      <c r="R79" s="386" t="s">
        <v>220</v>
      </c>
    </row>
    <row r="80" spans="2:21" hidden="1">
      <c r="B80" s="385" t="s">
        <v>221</v>
      </c>
      <c r="C80" s="380">
        <v>353.42857142857144</v>
      </c>
      <c r="D80" s="380">
        <v>4995.4761904761908</v>
      </c>
      <c r="E80" s="380">
        <v>666.19047619047615</v>
      </c>
      <c r="F80" s="380">
        <v>108.14285714285714</v>
      </c>
      <c r="G80" s="380">
        <v>428.57142857142856</v>
      </c>
      <c r="H80" s="380">
        <v>1105.8571428571429</v>
      </c>
      <c r="I80" s="380">
        <v>210.61904761904762</v>
      </c>
      <c r="J80" s="380">
        <v>802.71428571428567</v>
      </c>
      <c r="K80" s="380"/>
      <c r="L80" s="380">
        <v>467.57766666666663</v>
      </c>
      <c r="M80" s="380">
        <v>0</v>
      </c>
      <c r="N80" s="380"/>
      <c r="O80" s="381">
        <v>3.1818181818181812</v>
      </c>
      <c r="P80" s="381">
        <v>4.2659545454545453</v>
      </c>
      <c r="Q80" s="381">
        <v>5.1401363636363637</v>
      </c>
      <c r="R80" s="386" t="s">
        <v>222</v>
      </c>
    </row>
    <row r="81" spans="2:19" hidden="1">
      <c r="B81" s="385" t="s">
        <v>223</v>
      </c>
      <c r="C81" s="380">
        <v>317.45454545454544</v>
      </c>
      <c r="D81" s="380">
        <v>5271.863636363636</v>
      </c>
      <c r="E81" s="380">
        <v>621.09090909090912</v>
      </c>
      <c r="F81" s="380">
        <v>96.772727272727266</v>
      </c>
      <c r="G81" s="380">
        <v>446.59090909090907</v>
      </c>
      <c r="H81" s="380">
        <v>1030.5</v>
      </c>
      <c r="I81" s="380">
        <v>211.81818181818181</v>
      </c>
      <c r="J81" s="380">
        <v>772.13636363636363</v>
      </c>
      <c r="K81" s="380"/>
      <c r="L81" s="380">
        <v>598.36363636363637</v>
      </c>
      <c r="M81" s="380">
        <v>454.87945454545456</v>
      </c>
      <c r="N81" s="380"/>
      <c r="O81" s="381">
        <v>3.1716086956521736</v>
      </c>
      <c r="P81" s="381">
        <v>4.266</v>
      </c>
      <c r="Q81" s="381">
        <v>5.157260869565218</v>
      </c>
      <c r="R81" s="386" t="s">
        <v>223</v>
      </c>
    </row>
    <row r="82" spans="2:19" hidden="1">
      <c r="B82" s="385" t="s">
        <v>224</v>
      </c>
      <c r="C82" s="380">
        <v>309.23529411764707</v>
      </c>
      <c r="D82" s="380">
        <v>5917.3529411764703</v>
      </c>
      <c r="E82" s="380">
        <v>565.52941176470586</v>
      </c>
      <c r="F82" s="380">
        <v>87.058823529411768</v>
      </c>
      <c r="G82" s="380">
        <v>468.76470588235293</v>
      </c>
      <c r="H82" s="380">
        <v>941.23529411764707</v>
      </c>
      <c r="I82" s="380">
        <v>203.41176470588235</v>
      </c>
      <c r="J82" s="380">
        <v>715.94117647058829</v>
      </c>
      <c r="K82" s="380"/>
      <c r="L82" s="380">
        <v>575.88235294117646</v>
      </c>
      <c r="M82" s="380">
        <v>445.8800588235294</v>
      </c>
      <c r="N82" s="380"/>
      <c r="O82" s="381">
        <v>3.2758999999999991</v>
      </c>
      <c r="P82" s="381">
        <v>4.2884000000000011</v>
      </c>
      <c r="Q82" s="381">
        <v>5.119600000000001</v>
      </c>
      <c r="R82" s="386" t="s">
        <v>224</v>
      </c>
    </row>
    <row r="83" spans="2:19" hidden="1">
      <c r="B83" s="385" t="s">
        <v>209</v>
      </c>
      <c r="C83" s="380">
        <v>318.09090909090907</v>
      </c>
      <c r="D83" s="380">
        <v>5577.772727272727</v>
      </c>
      <c r="E83" s="380">
        <v>482.68181818181819</v>
      </c>
      <c r="F83" s="380">
        <v>86.045454545454547</v>
      </c>
      <c r="G83" s="380">
        <v>439.09090909090907</v>
      </c>
      <c r="H83" s="380">
        <v>840.36363636363637</v>
      </c>
      <c r="I83" s="380">
        <v>207</v>
      </c>
      <c r="J83" s="380">
        <v>607.0454545454545</v>
      </c>
      <c r="K83" s="380"/>
      <c r="L83" s="380">
        <v>535.31818181818187</v>
      </c>
      <c r="M83" s="380">
        <v>414.87313636363632</v>
      </c>
      <c r="N83" s="380"/>
      <c r="O83" s="381">
        <v>3.2530000000000001</v>
      </c>
      <c r="P83" s="381">
        <v>4.2524782608695659</v>
      </c>
      <c r="Q83" s="381">
        <v>5.0697391304347823</v>
      </c>
      <c r="R83" s="386" t="s">
        <v>226</v>
      </c>
    </row>
    <row r="84" spans="2:19" hidden="1">
      <c r="B84" s="385"/>
      <c r="C84" s="380"/>
      <c r="D84" s="390"/>
      <c r="E84" s="380"/>
      <c r="F84" s="380"/>
      <c r="G84" s="380"/>
      <c r="H84" s="380"/>
      <c r="I84" s="380"/>
      <c r="J84" s="380"/>
      <c r="K84" s="380"/>
      <c r="L84" s="380"/>
      <c r="M84" s="380"/>
      <c r="N84" s="380"/>
      <c r="O84" s="381"/>
      <c r="P84" s="381"/>
      <c r="Q84" s="381"/>
      <c r="R84" s="386"/>
    </row>
    <row r="85" spans="2:19" hidden="1">
      <c r="B85" s="383">
        <v>2004</v>
      </c>
      <c r="C85" s="380"/>
      <c r="D85" s="390"/>
      <c r="E85" s="380"/>
      <c r="F85" s="380"/>
      <c r="G85" s="380"/>
      <c r="H85" s="380"/>
      <c r="I85" s="380"/>
      <c r="J85" s="380"/>
      <c r="K85" s="380"/>
      <c r="L85" s="380"/>
      <c r="M85" s="380"/>
      <c r="N85" s="380"/>
      <c r="O85" s="381"/>
      <c r="P85" s="381"/>
      <c r="Q85" s="381"/>
      <c r="R85" s="384">
        <v>2004</v>
      </c>
    </row>
    <row r="86" spans="2:19" hidden="1">
      <c r="B86" s="385" t="s">
        <v>210</v>
      </c>
      <c r="C86" s="380">
        <v>302.36842105263156</v>
      </c>
      <c r="D86" s="380">
        <v>5393.9473684210525</v>
      </c>
      <c r="E86" s="380">
        <v>431.42105263157896</v>
      </c>
      <c r="F86" s="380">
        <v>88.421052631578945</v>
      </c>
      <c r="G86" s="380">
        <v>386.57894736842104</v>
      </c>
      <c r="H86" s="380">
        <v>724.36842105263156</v>
      </c>
      <c r="I86" s="380">
        <v>192.63157894736841</v>
      </c>
      <c r="J86" s="380">
        <v>597.78947368421052</v>
      </c>
      <c r="L86" s="380">
        <v>495.63157894736844</v>
      </c>
      <c r="M86" s="380">
        <v>388.44115789473682</v>
      </c>
      <c r="N86" s="380"/>
      <c r="O86" s="381">
        <v>3.1131363636363631</v>
      </c>
      <c r="P86" s="381">
        <v>4.1276363636363627</v>
      </c>
      <c r="Q86" s="381">
        <v>4.9811363636363639</v>
      </c>
      <c r="R86" s="386" t="s">
        <v>211</v>
      </c>
      <c r="S86" s="394"/>
    </row>
    <row r="87" spans="2:19" hidden="1">
      <c r="B87" s="385" t="s">
        <v>212</v>
      </c>
      <c r="C87" s="380">
        <v>361.05263157894734</v>
      </c>
      <c r="D87" s="380">
        <v>5521.0526315789475</v>
      </c>
      <c r="E87" s="380">
        <v>544.21052631578948</v>
      </c>
      <c r="F87" s="380">
        <v>92.736842105263165</v>
      </c>
      <c r="G87" s="380">
        <v>433.4736842105263</v>
      </c>
      <c r="H87" s="380">
        <v>746</v>
      </c>
      <c r="I87" s="380">
        <v>194.36842105263159</v>
      </c>
      <c r="J87" s="380">
        <v>664.42105263157896</v>
      </c>
      <c r="L87" s="380">
        <v>549.9473684210526</v>
      </c>
      <c r="M87" s="380">
        <v>425.38978947368417</v>
      </c>
      <c r="N87" s="380"/>
      <c r="O87" s="381">
        <v>3.0433999999999997</v>
      </c>
      <c r="P87" s="381">
        <v>4.0620500000000002</v>
      </c>
      <c r="Q87" s="381">
        <v>4.9205999999999994</v>
      </c>
      <c r="R87" s="386" t="s">
        <v>212</v>
      </c>
      <c r="S87" s="394"/>
    </row>
    <row r="88" spans="2:19" hidden="1">
      <c r="B88" s="385" t="s">
        <v>213</v>
      </c>
      <c r="C88" s="380">
        <v>357.40909090909093</v>
      </c>
      <c r="D88" s="380">
        <v>4859.181818181818</v>
      </c>
      <c r="E88" s="380">
        <v>551.77272727272725</v>
      </c>
      <c r="F88" s="380">
        <v>92.681818181818187</v>
      </c>
      <c r="G88" s="380">
        <v>401.68181818181819</v>
      </c>
      <c r="H88" s="380">
        <v>723.59090909090912</v>
      </c>
      <c r="I88" s="380">
        <v>186.86363636363637</v>
      </c>
      <c r="J88" s="380">
        <v>679.36363636363637</v>
      </c>
      <c r="L88" s="380">
        <v>536.86363636363637</v>
      </c>
      <c r="M88" s="380">
        <v>421.56272727272722</v>
      </c>
      <c r="N88" s="380"/>
      <c r="O88" s="381">
        <v>2.7674347826086962</v>
      </c>
      <c r="P88" s="381">
        <v>3.8103043478260883</v>
      </c>
      <c r="Q88" s="381">
        <v>4.7377826086956523</v>
      </c>
      <c r="R88" s="386" t="s">
        <v>213</v>
      </c>
      <c r="S88" s="394"/>
    </row>
    <row r="89" spans="2:19" hidden="1">
      <c r="B89" s="385" t="s">
        <v>214</v>
      </c>
      <c r="C89" s="380">
        <v>350.90476190476193</v>
      </c>
      <c r="D89" s="380">
        <v>4564.9523809523807</v>
      </c>
      <c r="E89" s="380">
        <v>589.90476190476193</v>
      </c>
      <c r="F89" s="380">
        <v>85.761904761904759</v>
      </c>
      <c r="G89" s="380">
        <v>379.85714285714283</v>
      </c>
      <c r="H89" s="380">
        <v>762.95238095238096</v>
      </c>
      <c r="I89" s="380">
        <v>180.04761904761904</v>
      </c>
      <c r="J89" s="380">
        <v>637.85714285714289</v>
      </c>
      <c r="L89" s="380">
        <v>538.90476190476193</v>
      </c>
      <c r="M89" s="380">
        <v>417.47271428571429</v>
      </c>
      <c r="N89" s="380"/>
      <c r="O89" s="381">
        <v>3.3740454545454539</v>
      </c>
      <c r="P89" s="381">
        <v>4.3226363636363629</v>
      </c>
      <c r="Q89" s="381">
        <v>5.1404999999999994</v>
      </c>
      <c r="R89" s="386" t="s">
        <v>215</v>
      </c>
      <c r="S89" s="394"/>
    </row>
    <row r="90" spans="2:19" hidden="1">
      <c r="B90" s="385" t="s">
        <v>216</v>
      </c>
      <c r="C90" s="380">
        <v>483.55</v>
      </c>
      <c r="D90" s="380">
        <v>4748.7</v>
      </c>
      <c r="E90" s="380">
        <v>722.9</v>
      </c>
      <c r="F90" s="380">
        <v>97.5</v>
      </c>
      <c r="G90" s="380">
        <v>529.25</v>
      </c>
      <c r="H90" s="380">
        <v>920.5</v>
      </c>
      <c r="I90" s="380">
        <v>218.9</v>
      </c>
      <c r="J90" s="380">
        <v>686.15</v>
      </c>
      <c r="L90" s="380">
        <v>628.29999999999995</v>
      </c>
      <c r="M90" s="380">
        <v>503.12749999999994</v>
      </c>
      <c r="N90" s="380"/>
      <c r="O90" s="381">
        <v>3.832476190476191</v>
      </c>
      <c r="P90" s="381">
        <v>4.6985238095238095</v>
      </c>
      <c r="Q90" s="381">
        <v>5.4183809523809527</v>
      </c>
      <c r="R90" s="386" t="s">
        <v>216</v>
      </c>
      <c r="S90" s="394"/>
    </row>
    <row r="91" spans="2:19" hidden="1">
      <c r="B91" s="385" t="s">
        <v>217</v>
      </c>
      <c r="C91" s="380">
        <v>449.36363636363637</v>
      </c>
      <c r="D91" s="380">
        <v>4913.863636363636</v>
      </c>
      <c r="E91" s="380">
        <v>664.31818181818187</v>
      </c>
      <c r="F91" s="380">
        <v>85.954545454545453</v>
      </c>
      <c r="G91" s="380">
        <v>486.5</v>
      </c>
      <c r="H91" s="380">
        <v>886.09090909090912</v>
      </c>
      <c r="I91" s="380">
        <v>215.77272727272728</v>
      </c>
      <c r="J91" s="380">
        <v>624.68181818181813</v>
      </c>
      <c r="L91" s="380">
        <v>599.27272727272725</v>
      </c>
      <c r="M91" s="380">
        <v>480.44577272727275</v>
      </c>
      <c r="N91" s="380"/>
      <c r="O91" s="381">
        <v>3.9202272727272738</v>
      </c>
      <c r="P91" s="381">
        <v>4.7240000000000002</v>
      </c>
      <c r="Q91" s="381">
        <v>5.4067727272727275</v>
      </c>
      <c r="R91" s="386" t="s">
        <v>217</v>
      </c>
      <c r="S91" s="394"/>
    </row>
    <row r="92" spans="2:19" hidden="1">
      <c r="B92" s="385" t="s">
        <v>218</v>
      </c>
      <c r="C92" s="380">
        <v>434.57142857142856</v>
      </c>
      <c r="D92" s="380">
        <v>4947.2380952380954</v>
      </c>
      <c r="E92" s="380">
        <v>611.14285714285711</v>
      </c>
      <c r="F92" s="380">
        <v>84.761904761904759</v>
      </c>
      <c r="G92" s="380">
        <v>454.28571428571428</v>
      </c>
      <c r="H92" s="380">
        <v>921.61904761904759</v>
      </c>
      <c r="I92" s="380">
        <v>207.33333333333334</v>
      </c>
      <c r="J92" s="380">
        <v>611.76190476190482</v>
      </c>
      <c r="L92" s="380">
        <v>575.04761904761904</v>
      </c>
      <c r="M92" s="380">
        <v>464.97628571428572</v>
      </c>
      <c r="N92" s="380"/>
      <c r="O92" s="381">
        <v>3.6723181818181816</v>
      </c>
      <c r="P92" s="381">
        <v>4.4765909090909082</v>
      </c>
      <c r="Q92" s="381">
        <v>5.2139090909090902</v>
      </c>
      <c r="R92" s="386" t="s">
        <v>218</v>
      </c>
      <c r="S92" s="394"/>
    </row>
    <row r="93" spans="2:19" hidden="1">
      <c r="B93" s="385" t="s">
        <v>219</v>
      </c>
      <c r="C93" s="380">
        <v>385.18181818181819</v>
      </c>
      <c r="D93" s="380">
        <v>5158.818181818182</v>
      </c>
      <c r="E93" s="380">
        <v>555.63636363636363</v>
      </c>
      <c r="F93" s="380">
        <v>73.272727272727266</v>
      </c>
      <c r="G93" s="380">
        <v>423.63636363636363</v>
      </c>
      <c r="H93" s="380">
        <v>836.13636363636363</v>
      </c>
      <c r="I93" s="380">
        <v>193</v>
      </c>
      <c r="J93" s="380">
        <v>562.5</v>
      </c>
      <c r="L93" s="380">
        <v>537.68181818181813</v>
      </c>
      <c r="M93" s="380">
        <v>439.27922727272727</v>
      </c>
      <c r="N93" s="380"/>
      <c r="O93" s="381">
        <v>3.4631363636363632</v>
      </c>
      <c r="P93" s="381">
        <v>4.2694545454545443</v>
      </c>
      <c r="Q93" s="381">
        <v>5.0561818181818188</v>
      </c>
      <c r="R93" s="386" t="s">
        <v>220</v>
      </c>
      <c r="S93" s="394"/>
    </row>
    <row r="94" spans="2:19" hidden="1">
      <c r="B94" s="385" t="s">
        <v>221</v>
      </c>
      <c r="C94" s="380">
        <v>336.76190476190476</v>
      </c>
      <c r="D94" s="380">
        <v>5359.8571428571431</v>
      </c>
      <c r="E94" s="380">
        <v>484.71428571428572</v>
      </c>
      <c r="F94" s="380">
        <v>72.238095238095241</v>
      </c>
      <c r="G94" s="380">
        <v>398.14285714285717</v>
      </c>
      <c r="H94" s="380">
        <v>801.76190476190482</v>
      </c>
      <c r="I94" s="380">
        <v>185.57142857142858</v>
      </c>
      <c r="J94" s="380">
        <v>508.1904761904762</v>
      </c>
      <c r="L94" s="380">
        <v>499.1904761904762</v>
      </c>
      <c r="M94" s="380">
        <v>413.34423809523821</v>
      </c>
      <c r="N94" s="380"/>
      <c r="O94" s="381">
        <v>3.35</v>
      </c>
      <c r="P94" s="381">
        <v>4.1201363636363633</v>
      </c>
      <c r="Q94" s="381">
        <v>4.9092727272727279</v>
      </c>
      <c r="R94" s="386" t="s">
        <v>222</v>
      </c>
      <c r="S94" s="394"/>
    </row>
    <row r="95" spans="2:19" hidden="1">
      <c r="B95" s="385" t="s">
        <v>223</v>
      </c>
      <c r="C95" s="380">
        <v>350.85</v>
      </c>
      <c r="D95" s="380">
        <v>5235.2</v>
      </c>
      <c r="E95" s="380">
        <v>467.05</v>
      </c>
      <c r="F95" s="380">
        <v>77.8</v>
      </c>
      <c r="G95" s="380">
        <v>400.55</v>
      </c>
      <c r="H95" s="380">
        <v>731.05</v>
      </c>
      <c r="I95" s="380">
        <v>186.5</v>
      </c>
      <c r="J95" s="380">
        <v>463</v>
      </c>
      <c r="L95" s="380">
        <v>485.45</v>
      </c>
      <c r="M95" s="380">
        <v>400.8134</v>
      </c>
      <c r="N95" s="380"/>
      <c r="O95" s="381">
        <v>3.339904761904763</v>
      </c>
      <c r="P95" s="381">
        <v>4.0790952380952392</v>
      </c>
      <c r="Q95" s="381">
        <v>4.8540952380952387</v>
      </c>
      <c r="R95" s="386" t="s">
        <v>223</v>
      </c>
      <c r="S95" s="394"/>
    </row>
    <row r="96" spans="2:19" hidden="1">
      <c r="B96" s="385" t="s">
        <v>224</v>
      </c>
      <c r="C96" s="380">
        <v>303.5</v>
      </c>
      <c r="D96" s="380">
        <v>5030.3</v>
      </c>
      <c r="E96" s="380">
        <v>435.45</v>
      </c>
      <c r="F96" s="380">
        <v>72.599999999999994</v>
      </c>
      <c r="G96" s="380">
        <v>360.9</v>
      </c>
      <c r="H96" s="380">
        <v>721.95</v>
      </c>
      <c r="I96" s="380">
        <v>174.65</v>
      </c>
      <c r="J96" s="380">
        <v>424.5</v>
      </c>
      <c r="L96" s="380">
        <v>452.35</v>
      </c>
      <c r="M96" s="380">
        <v>373.65999999999997</v>
      </c>
      <c r="N96" s="380"/>
      <c r="O96" s="381">
        <v>3.5207272727272723</v>
      </c>
      <c r="P96" s="381">
        <v>4.1860000000000008</v>
      </c>
      <c r="Q96" s="381">
        <v>4.8838181818181825</v>
      </c>
      <c r="R96" s="386" t="s">
        <v>224</v>
      </c>
      <c r="S96" s="375"/>
    </row>
    <row r="97" spans="2:19" hidden="1">
      <c r="B97" s="385" t="s">
        <v>209</v>
      </c>
      <c r="C97" s="380">
        <v>257.22727272727275</v>
      </c>
      <c r="D97" s="380">
        <v>4826.454545454545</v>
      </c>
      <c r="E97" s="380">
        <v>393.90909090909093</v>
      </c>
      <c r="F97" s="380">
        <v>67.590909090909093</v>
      </c>
      <c r="G97" s="380">
        <v>346.63636363636363</v>
      </c>
      <c r="H97" s="380">
        <v>710.59090909090912</v>
      </c>
      <c r="I97" s="380">
        <v>177.18181818181819</v>
      </c>
      <c r="J97" s="380">
        <v>411.40909090909093</v>
      </c>
      <c r="L97" s="380">
        <v>423.40909090909093</v>
      </c>
      <c r="M97" s="380">
        <v>352.52849999999995</v>
      </c>
      <c r="N97" s="380"/>
      <c r="O97" s="381">
        <v>3.5876956521739136</v>
      </c>
      <c r="P97" s="381">
        <v>4.2184347826086954</v>
      </c>
      <c r="Q97" s="381">
        <v>4.8593043478260878</v>
      </c>
      <c r="R97" s="386" t="s">
        <v>226</v>
      </c>
      <c r="S97" s="375"/>
    </row>
    <row r="98" spans="2:19" hidden="1">
      <c r="B98" s="385"/>
      <c r="C98" s="380"/>
      <c r="D98" s="380"/>
      <c r="E98" s="380"/>
      <c r="F98" s="380"/>
      <c r="G98" s="380"/>
      <c r="H98" s="380"/>
      <c r="I98" s="380"/>
      <c r="J98" s="380"/>
      <c r="K98" s="380"/>
      <c r="L98" s="380"/>
      <c r="M98" s="380"/>
      <c r="N98" s="380"/>
      <c r="O98" s="381"/>
      <c r="P98" s="381"/>
      <c r="Q98" s="381"/>
      <c r="R98" s="386"/>
      <c r="S98" s="375"/>
    </row>
    <row r="99" spans="2:19" hidden="1">
      <c r="B99" s="383">
        <v>2005</v>
      </c>
      <c r="C99" s="380"/>
      <c r="D99" s="380"/>
      <c r="E99" s="380"/>
      <c r="F99" s="380"/>
      <c r="G99" s="380"/>
      <c r="H99" s="380"/>
      <c r="I99" s="380"/>
      <c r="J99" s="380"/>
      <c r="K99" s="380"/>
      <c r="L99" s="380"/>
      <c r="M99" s="380"/>
      <c r="N99" s="380"/>
      <c r="O99" s="381"/>
      <c r="P99" s="381"/>
      <c r="Q99" s="381"/>
      <c r="R99" s="384">
        <v>2005</v>
      </c>
      <c r="S99" s="375"/>
    </row>
    <row r="100" spans="2:19" hidden="1">
      <c r="B100" s="385" t="s">
        <v>210</v>
      </c>
      <c r="C100" s="380">
        <v>266.45</v>
      </c>
      <c r="D100" s="390">
        <v>4823.6000000000004</v>
      </c>
      <c r="E100" s="380">
        <v>415.95</v>
      </c>
      <c r="F100" s="380">
        <v>62.55</v>
      </c>
      <c r="G100" s="380">
        <v>358.85</v>
      </c>
      <c r="H100" s="380">
        <v>682.3</v>
      </c>
      <c r="I100" s="380">
        <v>178.55</v>
      </c>
      <c r="J100" s="380">
        <v>438.2</v>
      </c>
      <c r="K100" s="380"/>
      <c r="L100" s="380">
        <v>438.9</v>
      </c>
      <c r="M100" s="380">
        <v>360.52064999999999</v>
      </c>
      <c r="N100" s="380"/>
      <c r="O100" s="381">
        <v>3.706</v>
      </c>
      <c r="P100" s="381">
        <v>4.194</v>
      </c>
      <c r="Q100" s="381">
        <v>4.6820000000000004</v>
      </c>
      <c r="R100" s="386" t="s">
        <v>211</v>
      </c>
      <c r="S100" s="375"/>
    </row>
    <row r="101" spans="2:19" hidden="1">
      <c r="B101" s="385" t="s">
        <v>212</v>
      </c>
      <c r="C101" s="380">
        <v>261.89473684210526</v>
      </c>
      <c r="D101" s="390">
        <v>4901.4736842105267</v>
      </c>
      <c r="E101" s="380">
        <v>400.10526315789474</v>
      </c>
      <c r="F101" s="380">
        <v>60.578947368421055</v>
      </c>
      <c r="G101" s="380">
        <v>357.94736842105266</v>
      </c>
      <c r="H101" s="380">
        <v>638.36842105263156</v>
      </c>
      <c r="I101" s="380">
        <v>166.15789473684211</v>
      </c>
      <c r="J101" s="380">
        <v>451.15789473684208</v>
      </c>
      <c r="K101" s="380"/>
      <c r="L101" s="380">
        <v>425.15789473684208</v>
      </c>
      <c r="M101" s="380">
        <v>345.92505263157892</v>
      </c>
      <c r="N101" s="380"/>
      <c r="O101" s="381">
        <v>3.871</v>
      </c>
      <c r="P101" s="381">
        <v>4.2869999999999999</v>
      </c>
      <c r="Q101" s="381">
        <v>4.6859999999999999</v>
      </c>
      <c r="R101" s="386" t="s">
        <v>212</v>
      </c>
      <c r="S101" s="375"/>
    </row>
    <row r="102" spans="2:19" hidden="1">
      <c r="B102" s="385" t="s">
        <v>213</v>
      </c>
      <c r="C102" s="380">
        <v>264.18181818181819</v>
      </c>
      <c r="D102" s="390">
        <v>4868.545454545455</v>
      </c>
      <c r="E102" s="380">
        <v>418.95454545454544</v>
      </c>
      <c r="F102" s="380">
        <v>65.5</v>
      </c>
      <c r="G102" s="380">
        <v>371</v>
      </c>
      <c r="H102" s="380">
        <v>632.5</v>
      </c>
      <c r="I102" s="380">
        <v>172.90909090909091</v>
      </c>
      <c r="J102" s="380">
        <v>430.72727272727275</v>
      </c>
      <c r="K102" s="380"/>
      <c r="L102" s="380">
        <v>431.95454545454544</v>
      </c>
      <c r="M102" s="380">
        <v>349.60909090909092</v>
      </c>
      <c r="N102" s="380"/>
      <c r="O102" s="381">
        <v>4.3090000000000002</v>
      </c>
      <c r="P102" s="381">
        <v>4.5949999999999998</v>
      </c>
      <c r="Q102" s="381">
        <v>4.8449999999999998</v>
      </c>
      <c r="R102" s="386" t="s">
        <v>213</v>
      </c>
      <c r="S102" s="375"/>
    </row>
    <row r="103" spans="2:19" hidden="1">
      <c r="B103" s="385" t="s">
        <v>214</v>
      </c>
      <c r="C103" s="380">
        <v>284.85714285714283</v>
      </c>
      <c r="D103" s="390">
        <v>5342.4761904761908</v>
      </c>
      <c r="E103" s="380">
        <v>450.8095238095238</v>
      </c>
      <c r="F103" s="380">
        <v>70.523809523809518</v>
      </c>
      <c r="G103" s="380">
        <v>409.85714285714283</v>
      </c>
      <c r="H103" s="380">
        <v>737.85714285714289</v>
      </c>
      <c r="I103" s="380">
        <v>195.33333333333334</v>
      </c>
      <c r="J103" s="380">
        <v>469.61904761904759</v>
      </c>
      <c r="K103" s="380"/>
      <c r="L103" s="380">
        <v>465.23809523809524</v>
      </c>
      <c r="M103" s="380">
        <v>378.26685714285713</v>
      </c>
      <c r="N103" s="380"/>
      <c r="O103" s="381">
        <v>3.9390000000000001</v>
      </c>
      <c r="P103" s="381">
        <v>4.2489999999999997</v>
      </c>
      <c r="Q103" s="381">
        <v>4.5540000000000003</v>
      </c>
      <c r="R103" s="386" t="s">
        <v>215</v>
      </c>
      <c r="S103" s="375"/>
    </row>
    <row r="104" spans="2:19" hidden="1">
      <c r="B104" s="385" t="s">
        <v>216</v>
      </c>
      <c r="C104" s="380">
        <v>267.23809523809524</v>
      </c>
      <c r="D104" s="390">
        <v>5798.7142857142853</v>
      </c>
      <c r="E104" s="380">
        <v>432.33333333333331</v>
      </c>
      <c r="F104" s="380">
        <v>70.476190476190482</v>
      </c>
      <c r="G104" s="380">
        <v>375.76190476190476</v>
      </c>
      <c r="H104" s="380">
        <v>835.33333333333337</v>
      </c>
      <c r="I104" s="380">
        <v>191.14285714285714</v>
      </c>
      <c r="J104" s="380">
        <v>494.42857142857144</v>
      </c>
      <c r="K104" s="380"/>
      <c r="L104" s="380">
        <v>461.90476190476193</v>
      </c>
      <c r="M104" s="380">
        <v>373.96457142857145</v>
      </c>
      <c r="N104" s="380"/>
      <c r="O104" s="381">
        <v>3.8140000000000001</v>
      </c>
      <c r="P104" s="381">
        <v>4.0880000000000001</v>
      </c>
      <c r="Q104" s="381">
        <v>4.4329999999999998</v>
      </c>
      <c r="R104" s="386" t="s">
        <v>216</v>
      </c>
      <c r="S104" s="375"/>
    </row>
    <row r="105" spans="2:19" hidden="1">
      <c r="B105" s="385" t="s">
        <v>227</v>
      </c>
      <c r="C105" s="380">
        <v>243.22727272727272</v>
      </c>
      <c r="D105" s="390">
        <v>2795.5</v>
      </c>
      <c r="E105" s="380">
        <v>417.59090909090907</v>
      </c>
      <c r="F105" s="380">
        <v>65.772727272727266</v>
      </c>
      <c r="G105" s="380">
        <v>339.36363636363637</v>
      </c>
      <c r="H105" s="380">
        <v>819.09090909090912</v>
      </c>
      <c r="I105" s="380">
        <v>183.45454545454547</v>
      </c>
      <c r="J105" s="380">
        <v>476.36363636363637</v>
      </c>
      <c r="K105" s="380"/>
      <c r="L105" s="380">
        <v>392.22727272727275</v>
      </c>
      <c r="M105" s="380">
        <v>329.65581818181823</v>
      </c>
      <c r="N105" s="380"/>
      <c r="O105" s="381">
        <v>3.6819999999999999</v>
      </c>
      <c r="P105" s="381">
        <v>4.9589999999999996</v>
      </c>
      <c r="Q105" s="381">
        <v>5.4829999999999997</v>
      </c>
      <c r="R105" s="386" t="s">
        <v>228</v>
      </c>
      <c r="S105" s="375"/>
    </row>
    <row r="106" spans="2:19" hidden="1">
      <c r="B106" s="385" t="s">
        <v>218</v>
      </c>
      <c r="C106" s="380">
        <v>233.25</v>
      </c>
      <c r="D106" s="380">
        <v>425.35</v>
      </c>
      <c r="E106" s="380">
        <v>404.15</v>
      </c>
      <c r="F106" s="380">
        <v>59</v>
      </c>
      <c r="G106" s="380">
        <v>322.2</v>
      </c>
      <c r="H106" s="380">
        <v>759</v>
      </c>
      <c r="I106" s="380">
        <v>171.15</v>
      </c>
      <c r="J106" s="380">
        <v>437.7</v>
      </c>
      <c r="K106" s="380"/>
      <c r="L106" s="380">
        <v>323.35000000000002</v>
      </c>
      <c r="M106" s="380">
        <v>285.03729999999996</v>
      </c>
      <c r="N106" s="380"/>
      <c r="O106" s="381">
        <v>4.0519999999999996</v>
      </c>
      <c r="P106" s="381">
        <v>4.226</v>
      </c>
      <c r="Q106" s="381">
        <v>4.4480000000000004</v>
      </c>
      <c r="R106" s="386" t="s">
        <v>218</v>
      </c>
      <c r="S106" s="375"/>
    </row>
    <row r="107" spans="2:19" hidden="1">
      <c r="B107" s="385" t="s">
        <v>219</v>
      </c>
      <c r="C107" s="380">
        <v>206</v>
      </c>
      <c r="D107" s="380">
        <v>419.43478260869563</v>
      </c>
      <c r="E107" s="380">
        <v>396.08695652173913</v>
      </c>
      <c r="F107" s="380">
        <v>54.913043478260867</v>
      </c>
      <c r="G107" s="380">
        <v>304.47826086956519</v>
      </c>
      <c r="H107" s="380">
        <v>714.13043478260875</v>
      </c>
      <c r="I107" s="380">
        <v>163.2608695652174</v>
      </c>
      <c r="J107" s="380">
        <v>416.60869565217394</v>
      </c>
      <c r="K107" s="380"/>
      <c r="L107" s="380">
        <v>312.47826086956519</v>
      </c>
      <c r="M107" s="380">
        <v>274.101</v>
      </c>
      <c r="N107" s="380"/>
      <c r="O107" s="381">
        <v>4.0880000000000001</v>
      </c>
      <c r="P107" s="381">
        <v>4.1879999999999997</v>
      </c>
      <c r="Q107" s="381">
        <v>4.3730000000000002</v>
      </c>
      <c r="R107" s="386" t="s">
        <v>220</v>
      </c>
      <c r="S107" s="375"/>
    </row>
    <row r="108" spans="2:19" hidden="1">
      <c r="B108" s="385" t="s">
        <v>221</v>
      </c>
      <c r="C108" s="380">
        <v>197.9047619047619</v>
      </c>
      <c r="D108" s="380">
        <v>396.33333333333331</v>
      </c>
      <c r="E108" s="380">
        <v>370.42857142857144</v>
      </c>
      <c r="F108" s="380">
        <v>56.047619047619051</v>
      </c>
      <c r="G108" s="380">
        <v>261.23809523809524</v>
      </c>
      <c r="H108" s="380">
        <v>682.23809523809518</v>
      </c>
      <c r="I108" s="380">
        <v>151.33333333333334</v>
      </c>
      <c r="J108" s="380">
        <v>355.1904761904762</v>
      </c>
      <c r="K108" s="380"/>
      <c r="L108" s="380">
        <v>288.61904761904759</v>
      </c>
      <c r="M108" s="380">
        <v>253.66695238095241</v>
      </c>
      <c r="N108" s="380"/>
      <c r="O108" s="381">
        <v>4.1079999999999997</v>
      </c>
      <c r="P108" s="381">
        <v>4.2830000000000004</v>
      </c>
      <c r="Q108" s="381">
        <v>4.5389999999999997</v>
      </c>
      <c r="R108" s="386" t="s">
        <v>222</v>
      </c>
      <c r="S108" s="375"/>
    </row>
    <row r="109" spans="2:19" hidden="1">
      <c r="B109" s="385" t="s">
        <v>229</v>
      </c>
      <c r="C109" s="380">
        <v>218.25</v>
      </c>
      <c r="D109" s="380">
        <v>392.45</v>
      </c>
      <c r="E109" s="380">
        <v>367.95</v>
      </c>
      <c r="F109" s="380">
        <v>60.85</v>
      </c>
      <c r="G109" s="380">
        <v>277.64999999999998</v>
      </c>
      <c r="H109" s="380">
        <v>682.6</v>
      </c>
      <c r="I109" s="380">
        <v>157.15</v>
      </c>
      <c r="J109" s="380">
        <v>325.14999999999998</v>
      </c>
      <c r="K109" s="380"/>
      <c r="L109" s="380">
        <v>288.75</v>
      </c>
      <c r="M109" s="380">
        <v>252.4049</v>
      </c>
      <c r="N109" s="380"/>
      <c r="O109" s="381">
        <v>4.4569999999999999</v>
      </c>
      <c r="P109" s="381">
        <v>4.585</v>
      </c>
      <c r="Q109" s="381">
        <v>4.7939999999999996</v>
      </c>
      <c r="R109" s="386" t="s">
        <v>223</v>
      </c>
      <c r="S109" s="375"/>
    </row>
    <row r="110" spans="2:19" hidden="1">
      <c r="B110" s="385" t="s">
        <v>224</v>
      </c>
      <c r="C110" s="380">
        <v>203.25</v>
      </c>
      <c r="D110" s="380">
        <v>381.05</v>
      </c>
      <c r="E110" s="380">
        <v>345.75</v>
      </c>
      <c r="F110" s="380">
        <v>74.25</v>
      </c>
      <c r="G110" s="380">
        <v>253.45</v>
      </c>
      <c r="H110" s="380">
        <v>651.04999999999995</v>
      </c>
      <c r="I110" s="380">
        <v>137.4</v>
      </c>
      <c r="J110" s="380">
        <v>303.89999999999998</v>
      </c>
      <c r="K110" s="380"/>
      <c r="L110" s="380">
        <v>269.45</v>
      </c>
      <c r="M110" s="380">
        <v>237.22070000000002</v>
      </c>
      <c r="N110" s="380"/>
      <c r="O110" s="381">
        <v>4.3319999999999999</v>
      </c>
      <c r="P110" s="381">
        <v>4.4290000000000003</v>
      </c>
      <c r="Q110" s="381">
        <v>4.6589999999999998</v>
      </c>
      <c r="R110" s="386" t="s">
        <v>224</v>
      </c>
      <c r="S110" s="375"/>
    </row>
    <row r="111" spans="2:19" hidden="1">
      <c r="B111" s="385" t="s">
        <v>209</v>
      </c>
      <c r="C111" s="380">
        <v>246</v>
      </c>
      <c r="D111" s="380">
        <v>459</v>
      </c>
      <c r="E111" s="380">
        <v>281</v>
      </c>
      <c r="F111" s="380">
        <v>78</v>
      </c>
      <c r="G111" s="380">
        <v>226</v>
      </c>
      <c r="H111" s="380">
        <v>616</v>
      </c>
      <c r="I111" s="380">
        <v>142</v>
      </c>
      <c r="J111" s="380">
        <v>291</v>
      </c>
      <c r="K111" s="380"/>
      <c r="L111" s="380">
        <v>254</v>
      </c>
      <c r="M111" s="380">
        <v>223.02500000000001</v>
      </c>
      <c r="N111" s="380"/>
      <c r="O111" s="381">
        <v>4.2880000000000003</v>
      </c>
      <c r="P111" s="381">
        <v>4.3390000000000004</v>
      </c>
      <c r="Q111" s="381">
        <v>4.5049999999999999</v>
      </c>
      <c r="R111" s="386" t="s">
        <v>226</v>
      </c>
      <c r="S111" s="375"/>
    </row>
    <row r="112" spans="2:19" hidden="1">
      <c r="B112" s="385"/>
      <c r="C112" s="380"/>
      <c r="D112" s="380"/>
      <c r="E112" s="380"/>
      <c r="F112" s="380"/>
      <c r="G112" s="380"/>
      <c r="H112" s="380"/>
      <c r="I112" s="380"/>
      <c r="J112" s="380"/>
      <c r="K112" s="380"/>
      <c r="L112" s="380"/>
      <c r="M112" s="380"/>
      <c r="N112" s="380"/>
      <c r="O112" s="381"/>
      <c r="P112" s="381"/>
      <c r="Q112" s="381"/>
      <c r="R112" s="386"/>
      <c r="S112" s="375"/>
    </row>
    <row r="113" spans="2:19" hidden="1">
      <c r="B113" s="383">
        <v>2006</v>
      </c>
      <c r="C113" s="380"/>
      <c r="D113" s="380"/>
      <c r="E113" s="380"/>
      <c r="F113" s="380"/>
      <c r="G113" s="380"/>
      <c r="H113" s="380"/>
      <c r="I113" s="380"/>
      <c r="J113" s="380"/>
      <c r="K113" s="380"/>
      <c r="L113" s="380"/>
      <c r="M113" s="380"/>
      <c r="N113" s="380"/>
      <c r="O113" s="381"/>
      <c r="P113" s="381"/>
      <c r="Q113" s="381"/>
      <c r="R113" s="384">
        <v>2006</v>
      </c>
      <c r="S113" s="375"/>
    </row>
    <row r="114" spans="2:19" hidden="1">
      <c r="B114" s="385" t="s">
        <v>210</v>
      </c>
      <c r="C114" s="380">
        <v>235.95</v>
      </c>
      <c r="D114" s="380">
        <v>457.85</v>
      </c>
      <c r="E114" s="380">
        <v>278.45</v>
      </c>
      <c r="F114" s="380">
        <v>76.25</v>
      </c>
      <c r="G114" s="380">
        <v>212.7</v>
      </c>
      <c r="H114" s="380">
        <v>610</v>
      </c>
      <c r="I114" s="380">
        <v>136.9</v>
      </c>
      <c r="J114" s="380">
        <v>275.3</v>
      </c>
      <c r="L114" s="380">
        <v>248.15</v>
      </c>
      <c r="M114" s="380">
        <v>219.74510000000001</v>
      </c>
      <c r="N114" s="380"/>
      <c r="O114" s="381">
        <v>4.3374545454545448</v>
      </c>
      <c r="P114" s="381">
        <v>4.4036363636363633</v>
      </c>
      <c r="Q114" s="381">
        <v>4.5810454545454542</v>
      </c>
      <c r="R114" s="386" t="s">
        <v>211</v>
      </c>
      <c r="S114" s="375"/>
    </row>
    <row r="115" spans="2:19" hidden="1">
      <c r="B115" s="385" t="s">
        <v>212</v>
      </c>
      <c r="C115" s="380">
        <v>184.10526315789474</v>
      </c>
      <c r="D115" s="380">
        <v>382.31578947368422</v>
      </c>
      <c r="E115" s="380">
        <v>236.73684210526315</v>
      </c>
      <c r="F115" s="380">
        <v>70.78947368421052</v>
      </c>
      <c r="G115" s="380">
        <v>174.10526315789474</v>
      </c>
      <c r="H115" s="380">
        <v>549.0526315789474</v>
      </c>
      <c r="I115" s="380">
        <v>128</v>
      </c>
      <c r="J115" s="380">
        <v>238</v>
      </c>
      <c r="L115" s="380">
        <v>216.84210526315789</v>
      </c>
      <c r="M115" s="380">
        <v>196.81989473684212</v>
      </c>
      <c r="N115" s="380"/>
      <c r="O115" s="381">
        <v>4.0614499999999998</v>
      </c>
      <c r="P115" s="381">
        <v>4.2428499999999998</v>
      </c>
      <c r="Q115" s="381">
        <v>4.5124000000000013</v>
      </c>
      <c r="R115" s="386" t="s">
        <v>212</v>
      </c>
      <c r="S115" s="375"/>
    </row>
    <row r="116" spans="2:19" hidden="1">
      <c r="B116" s="385" t="s">
        <v>213</v>
      </c>
      <c r="C116" s="380">
        <v>220.08695652173913</v>
      </c>
      <c r="D116" s="380">
        <v>349.30434782608694</v>
      </c>
      <c r="E116" s="380">
        <v>226.82608695652175</v>
      </c>
      <c r="F116" s="380">
        <v>71.173913043478265</v>
      </c>
      <c r="G116" s="380">
        <v>167.56521739130434</v>
      </c>
      <c r="H116" s="380">
        <v>538.13043478260875</v>
      </c>
      <c r="I116" s="380">
        <v>138.21739130434781</v>
      </c>
      <c r="J116" s="380">
        <v>215.17391304347825</v>
      </c>
      <c r="L116" s="380">
        <v>211.60869565217391</v>
      </c>
      <c r="M116" s="380">
        <v>192.00569565217393</v>
      </c>
      <c r="N116" s="380"/>
      <c r="O116" s="381">
        <v>4.3727391304347822</v>
      </c>
      <c r="P116" s="381">
        <v>4.4992608695652168</v>
      </c>
      <c r="Q116" s="381">
        <v>4.7100869565217387</v>
      </c>
      <c r="R116" s="386" t="s">
        <v>213</v>
      </c>
      <c r="S116" s="375"/>
    </row>
    <row r="117" spans="2:19" hidden="1">
      <c r="B117" s="385" t="s">
        <v>214</v>
      </c>
      <c r="C117" s="380">
        <v>218.78947368421052</v>
      </c>
      <c r="D117" s="380">
        <v>332.05263157894734</v>
      </c>
      <c r="E117" s="380">
        <v>231.63157894736841</v>
      </c>
      <c r="F117" s="380">
        <v>76.94736842105263</v>
      </c>
      <c r="G117" s="380">
        <v>173</v>
      </c>
      <c r="H117" s="380">
        <v>492.05263157894734</v>
      </c>
      <c r="I117" s="380">
        <v>142.73684210526315</v>
      </c>
      <c r="J117" s="380">
        <v>186.63157894736841</v>
      </c>
      <c r="L117" s="380">
        <v>207.05263157894737</v>
      </c>
      <c r="M117" s="380">
        <v>189.10847368421048</v>
      </c>
      <c r="N117" s="380"/>
      <c r="O117" s="381">
        <v>4.4294000000000011</v>
      </c>
      <c r="P117" s="381">
        <v>4.5074500000000004</v>
      </c>
      <c r="Q117" s="381">
        <v>4.7099000000000002</v>
      </c>
      <c r="R117" s="386" t="s">
        <v>215</v>
      </c>
      <c r="S117" s="375"/>
    </row>
    <row r="118" spans="2:19" hidden="1">
      <c r="B118" s="385" t="s">
        <v>216</v>
      </c>
      <c r="C118" s="380">
        <v>196.72727272727272</v>
      </c>
      <c r="D118" s="380">
        <v>343.13636363636363</v>
      </c>
      <c r="E118" s="380">
        <v>242.63636363636363</v>
      </c>
      <c r="F118" s="380">
        <v>77.272727272727266</v>
      </c>
      <c r="G118" s="380">
        <v>187.77272727272728</v>
      </c>
      <c r="H118" s="380">
        <v>468.54545454545456</v>
      </c>
      <c r="I118" s="380">
        <v>143.45454545454547</v>
      </c>
      <c r="J118" s="380">
        <v>189.45454545454547</v>
      </c>
      <c r="L118" s="380">
        <v>210.86363636363637</v>
      </c>
      <c r="M118" s="380">
        <v>193.07518181818176</v>
      </c>
      <c r="N118" s="380"/>
      <c r="O118" s="381">
        <v>4.3603043478260872</v>
      </c>
      <c r="P118" s="381">
        <v>4.4308260869565217</v>
      </c>
      <c r="Q118" s="381">
        <v>4.6164782608695649</v>
      </c>
      <c r="R118" s="386" t="s">
        <v>216</v>
      </c>
      <c r="S118" s="375"/>
    </row>
    <row r="119" spans="2:19" hidden="1">
      <c r="B119" s="385" t="s">
        <v>217</v>
      </c>
      <c r="C119" s="380">
        <v>206.86363636363637</v>
      </c>
      <c r="D119" s="380">
        <v>383.31818181818181</v>
      </c>
      <c r="E119" s="380">
        <v>259.22727272727275</v>
      </c>
      <c r="F119" s="380">
        <v>82.318181818181813</v>
      </c>
      <c r="G119" s="380">
        <v>231.31818181818181</v>
      </c>
      <c r="H119" s="380">
        <v>502.81818181818181</v>
      </c>
      <c r="I119" s="380">
        <v>162.5</v>
      </c>
      <c r="J119" s="380">
        <v>222.63636363636363</v>
      </c>
      <c r="L119" s="380">
        <v>233.90909090909091</v>
      </c>
      <c r="M119" s="380">
        <v>218.24327272727268</v>
      </c>
      <c r="N119" s="380"/>
      <c r="O119" s="381">
        <v>4.3818181818181809</v>
      </c>
      <c r="P119" s="381">
        <v>4.4455000000000009</v>
      </c>
      <c r="Q119" s="381">
        <v>4.6072727272727274</v>
      </c>
      <c r="R119" s="386" t="s">
        <v>217</v>
      </c>
      <c r="S119" s="375"/>
    </row>
    <row r="120" spans="2:19" hidden="1">
      <c r="B120" s="385" t="s">
        <v>218</v>
      </c>
      <c r="C120" s="380">
        <v>193.65</v>
      </c>
      <c r="D120" s="380">
        <v>361.75</v>
      </c>
      <c r="E120" s="380">
        <v>237.45</v>
      </c>
      <c r="F120" s="380">
        <v>83.6</v>
      </c>
      <c r="G120" s="380">
        <v>228.05</v>
      </c>
      <c r="H120" s="380">
        <v>486.95</v>
      </c>
      <c r="I120" s="380">
        <v>135.94999999999999</v>
      </c>
      <c r="J120" s="380">
        <v>210.1</v>
      </c>
      <c r="L120" s="380">
        <v>215.15</v>
      </c>
      <c r="M120" s="380">
        <v>206.4435</v>
      </c>
      <c r="N120" s="380"/>
      <c r="O120" s="381">
        <v>4.6194761904761901</v>
      </c>
      <c r="P120" s="381">
        <v>4.6019999999999994</v>
      </c>
      <c r="Q120" s="381">
        <v>4.5845714285714276</v>
      </c>
      <c r="R120" s="386" t="s">
        <v>218</v>
      </c>
      <c r="S120" s="375"/>
    </row>
    <row r="121" spans="2:19" hidden="1">
      <c r="B121" s="385" t="s">
        <v>230</v>
      </c>
      <c r="C121" s="380">
        <v>173.39130434782609</v>
      </c>
      <c r="D121" s="380">
        <v>325.21739130434781</v>
      </c>
      <c r="E121" s="380">
        <v>217.34782608695653</v>
      </c>
      <c r="F121" s="380">
        <v>86.739130434782609</v>
      </c>
      <c r="G121" s="380">
        <v>196.47826086956522</v>
      </c>
      <c r="H121" s="380">
        <v>477</v>
      </c>
      <c r="I121" s="380">
        <v>128.82608695652175</v>
      </c>
      <c r="J121" s="380">
        <v>201.95652173913044</v>
      </c>
      <c r="L121" s="380">
        <v>200.21739130434781</v>
      </c>
      <c r="M121" s="380">
        <v>191.77352173913042</v>
      </c>
      <c r="N121" s="380"/>
      <c r="O121" s="381">
        <v>4.7479565217391304</v>
      </c>
      <c r="P121" s="381">
        <v>4.7775652173913041</v>
      </c>
      <c r="Q121" s="381">
        <v>4.8096521739130438</v>
      </c>
      <c r="R121" s="386" t="s">
        <v>220</v>
      </c>
      <c r="S121" s="375"/>
    </row>
    <row r="122" spans="2:19" hidden="1">
      <c r="B122" s="385" t="s">
        <v>221</v>
      </c>
      <c r="C122" s="380">
        <v>171.85</v>
      </c>
      <c r="D122" s="380">
        <v>332.25</v>
      </c>
      <c r="E122" s="380">
        <v>228.3</v>
      </c>
      <c r="F122" s="380">
        <v>84.6</v>
      </c>
      <c r="G122" s="380">
        <v>206.45</v>
      </c>
      <c r="H122" s="380">
        <v>565.04999999999995</v>
      </c>
      <c r="I122" s="380">
        <v>133.5</v>
      </c>
      <c r="J122" s="380">
        <v>228.85</v>
      </c>
      <c r="L122" s="380">
        <v>212.4</v>
      </c>
      <c r="M122" s="380">
        <v>201.40370000000001</v>
      </c>
      <c r="N122" s="380"/>
      <c r="O122" s="381">
        <v>4.950047619047619</v>
      </c>
      <c r="P122" s="381">
        <v>5.058238095238095</v>
      </c>
      <c r="Q122" s="381">
        <v>5.1434285714285704</v>
      </c>
      <c r="R122" s="386" t="s">
        <v>222</v>
      </c>
      <c r="S122" s="375"/>
    </row>
    <row r="123" spans="2:19" hidden="1">
      <c r="B123" s="385" t="s">
        <v>223</v>
      </c>
      <c r="C123" s="380">
        <v>147.95238095238096</v>
      </c>
      <c r="D123" s="380">
        <v>301.71428571428572</v>
      </c>
      <c r="E123" s="380">
        <v>216.52380952380952</v>
      </c>
      <c r="F123" s="380">
        <v>81.904761904761898</v>
      </c>
      <c r="G123" s="380">
        <v>180.71428571428572</v>
      </c>
      <c r="H123" s="380">
        <v>559.61904761904759</v>
      </c>
      <c r="I123" s="380">
        <v>130.47619047619048</v>
      </c>
      <c r="J123" s="380">
        <v>223.57142857142858</v>
      </c>
      <c r="L123" s="380">
        <v>201.8095238095238</v>
      </c>
      <c r="M123" s="380">
        <v>192.38085714285717</v>
      </c>
      <c r="N123" s="380"/>
      <c r="O123" s="381">
        <v>4.9742727272727274</v>
      </c>
      <c r="P123" s="381">
        <v>5.0720454545454539</v>
      </c>
      <c r="Q123" s="381">
        <v>5.1680909090909095</v>
      </c>
      <c r="R123" s="386" t="s">
        <v>223</v>
      </c>
      <c r="S123" s="375"/>
    </row>
    <row r="124" spans="2:19" hidden="1">
      <c r="B124" s="385" t="s">
        <v>224</v>
      </c>
      <c r="C124" s="380">
        <v>146.76190476190476</v>
      </c>
      <c r="D124" s="380">
        <v>291.57142857142856</v>
      </c>
      <c r="E124" s="380">
        <v>219</v>
      </c>
      <c r="F124" s="380">
        <v>78.61904761904762</v>
      </c>
      <c r="G124" s="380">
        <v>189.42857142857142</v>
      </c>
      <c r="H124" s="380">
        <v>528.28571428571433</v>
      </c>
      <c r="I124" s="380">
        <v>132.42857142857142</v>
      </c>
      <c r="J124" s="380">
        <v>227.52380952380952</v>
      </c>
      <c r="L124" s="380">
        <v>202.14285714285714</v>
      </c>
      <c r="M124" s="380">
        <v>192.70000000000002</v>
      </c>
      <c r="N124" s="380"/>
      <c r="O124" s="381">
        <v>5.1098181818181807</v>
      </c>
      <c r="P124" s="381">
        <v>5.1388636363636362</v>
      </c>
      <c r="Q124" s="381">
        <v>5.1810454545454538</v>
      </c>
      <c r="R124" s="386" t="s">
        <v>224</v>
      </c>
      <c r="S124" s="375"/>
    </row>
    <row r="125" spans="2:19" hidden="1">
      <c r="B125" s="385" t="s">
        <v>209</v>
      </c>
      <c r="C125" s="380">
        <v>131.35</v>
      </c>
      <c r="D125" s="380">
        <v>250.45</v>
      </c>
      <c r="E125" s="380">
        <v>204.5</v>
      </c>
      <c r="F125" s="380">
        <v>86.5</v>
      </c>
      <c r="G125" s="380">
        <v>181.75</v>
      </c>
      <c r="H125" s="380">
        <v>724.2</v>
      </c>
      <c r="I125" s="380">
        <v>124.25</v>
      </c>
      <c r="J125" s="380">
        <v>206.25</v>
      </c>
      <c r="L125" s="380">
        <v>192.15</v>
      </c>
      <c r="M125" s="380">
        <v>183.22624999999999</v>
      </c>
      <c r="N125" s="380"/>
      <c r="O125" s="381">
        <v>4.9678095238095228</v>
      </c>
      <c r="P125" s="381">
        <v>5.0208571428571434</v>
      </c>
      <c r="Q125" s="381">
        <v>5.0853809523809517</v>
      </c>
      <c r="R125" s="386" t="s">
        <v>226</v>
      </c>
      <c r="S125" s="375"/>
    </row>
    <row r="126" spans="2:19" hidden="1">
      <c r="B126" s="385"/>
      <c r="C126" s="380"/>
      <c r="D126" s="380"/>
      <c r="E126" s="380"/>
      <c r="F126" s="380"/>
      <c r="G126" s="380"/>
      <c r="H126" s="380"/>
      <c r="I126" s="380"/>
      <c r="J126" s="380"/>
      <c r="K126" s="380"/>
      <c r="L126" s="380"/>
      <c r="M126" s="380"/>
      <c r="N126" s="380"/>
      <c r="O126" s="381"/>
      <c r="P126" s="381"/>
      <c r="Q126" s="381"/>
      <c r="R126" s="386"/>
      <c r="S126" s="375"/>
    </row>
    <row r="127" spans="2:19" hidden="1">
      <c r="B127" s="383">
        <v>2007</v>
      </c>
      <c r="C127" s="380"/>
      <c r="D127" s="380"/>
      <c r="E127" s="380"/>
      <c r="F127" s="380"/>
      <c r="G127" s="380"/>
      <c r="H127" s="380"/>
      <c r="I127" s="380"/>
      <c r="J127" s="380"/>
      <c r="K127" s="380"/>
      <c r="L127" s="380"/>
      <c r="M127" s="380"/>
      <c r="N127" s="380"/>
      <c r="O127" s="381"/>
      <c r="P127" s="381"/>
      <c r="Q127" s="381"/>
      <c r="R127" s="384">
        <v>2007</v>
      </c>
      <c r="S127" s="375"/>
    </row>
    <row r="128" spans="2:19" hidden="1">
      <c r="B128" s="385" t="s">
        <v>210</v>
      </c>
      <c r="C128" s="380">
        <v>123.04761904761905</v>
      </c>
      <c r="D128" s="380">
        <v>202.52380952380952</v>
      </c>
      <c r="E128" s="380">
        <v>189.71428571428572</v>
      </c>
      <c r="F128" s="380">
        <v>81.285714285714292</v>
      </c>
      <c r="G128" s="380">
        <v>165</v>
      </c>
      <c r="H128" s="380">
        <v>904.14285714285711</v>
      </c>
      <c r="I128" s="380">
        <v>119.04761904761905</v>
      </c>
      <c r="J128" s="380">
        <v>207.38095238095238</v>
      </c>
      <c r="K128" s="380"/>
      <c r="L128" s="380">
        <v>182.71428571428572</v>
      </c>
      <c r="M128" s="380">
        <v>172.83885714285711</v>
      </c>
      <c r="N128" s="380"/>
      <c r="O128" s="381">
        <v>4.7474782608695651</v>
      </c>
      <c r="P128" s="381">
        <v>4.7536521739130437</v>
      </c>
      <c r="Q128" s="381">
        <v>4.8481739130434782</v>
      </c>
      <c r="R128" s="386" t="s">
        <v>211</v>
      </c>
      <c r="S128" s="375"/>
    </row>
    <row r="129" spans="2:19" hidden="1">
      <c r="B129" s="385" t="s">
        <v>212</v>
      </c>
      <c r="C129" s="380">
        <v>127.21052631578948</v>
      </c>
      <c r="D129" s="380">
        <v>207.47368421052633</v>
      </c>
      <c r="E129" s="380">
        <v>182.52631578947367</v>
      </c>
      <c r="F129" s="380">
        <v>80.10526315789474</v>
      </c>
      <c r="G129" s="380">
        <v>163.26315789473685</v>
      </c>
      <c r="H129" s="380">
        <v>745.78947368421052</v>
      </c>
      <c r="I129" s="380">
        <v>121.94736842105263</v>
      </c>
      <c r="J129" s="380">
        <v>210.21052631578948</v>
      </c>
      <c r="K129" s="380"/>
      <c r="L129" s="380">
        <v>180.31578947368422</v>
      </c>
      <c r="M129" s="380">
        <v>172.77099999999999</v>
      </c>
      <c r="N129" s="380"/>
      <c r="O129" s="381">
        <v>4.7064500000000011</v>
      </c>
      <c r="P129" s="381">
        <v>4.7205499999999994</v>
      </c>
      <c r="Q129" s="381">
        <v>4.8206999999999995</v>
      </c>
      <c r="R129" s="386" t="s">
        <v>212</v>
      </c>
      <c r="S129" s="375"/>
    </row>
    <row r="130" spans="2:19" hidden="1">
      <c r="B130" s="385" t="s">
        <v>213</v>
      </c>
      <c r="C130" s="380">
        <v>131.81818181818181</v>
      </c>
      <c r="D130" s="380">
        <v>220.04545454545453</v>
      </c>
      <c r="E130" s="380">
        <v>186.13636363636363</v>
      </c>
      <c r="F130" s="380">
        <v>86.181818181818187</v>
      </c>
      <c r="G130" s="380">
        <v>171.09090909090909</v>
      </c>
      <c r="H130" s="380">
        <v>695.0454545454545</v>
      </c>
      <c r="I130" s="380">
        <v>126.72727272727273</v>
      </c>
      <c r="J130" s="380">
        <v>221.09090909090909</v>
      </c>
      <c r="K130" s="380"/>
      <c r="L130" s="380">
        <v>186.72727272727272</v>
      </c>
      <c r="M130" s="380">
        <v>182.05186363636361</v>
      </c>
      <c r="N130" s="380"/>
      <c r="O130" s="381">
        <v>4.4770909090909097</v>
      </c>
      <c r="P130" s="381">
        <v>4.5591818181818189</v>
      </c>
      <c r="Q130" s="381">
        <v>4.7230909090909083</v>
      </c>
      <c r="R130" s="386" t="s">
        <v>213</v>
      </c>
      <c r="S130" s="375"/>
    </row>
    <row r="131" spans="2:19" hidden="1">
      <c r="B131" s="385" t="s">
        <v>214</v>
      </c>
      <c r="C131" s="380">
        <v>117.75</v>
      </c>
      <c r="D131" s="380">
        <v>235</v>
      </c>
      <c r="E131" s="380">
        <v>154.69999999999999</v>
      </c>
      <c r="F131" s="380">
        <v>82</v>
      </c>
      <c r="G131" s="380">
        <v>142.30000000000001</v>
      </c>
      <c r="H131" s="380">
        <v>610.70000000000005</v>
      </c>
      <c r="I131" s="380">
        <v>109</v>
      </c>
      <c r="J131" s="380">
        <v>217.7</v>
      </c>
      <c r="K131" s="380"/>
      <c r="L131" s="380">
        <v>167.05</v>
      </c>
      <c r="M131" s="380">
        <v>164.41125</v>
      </c>
      <c r="N131" s="380"/>
      <c r="O131" s="381">
        <v>4.5914285714285716</v>
      </c>
      <c r="P131" s="381">
        <v>4.6870000000000003</v>
      </c>
      <c r="Q131" s="381">
        <v>4.8652380952380962</v>
      </c>
      <c r="R131" s="386" t="s">
        <v>215</v>
      </c>
      <c r="S131" s="375"/>
    </row>
    <row r="132" spans="2:19" hidden="1">
      <c r="B132" s="385" t="s">
        <v>216</v>
      </c>
      <c r="C132" s="380">
        <v>110</v>
      </c>
      <c r="D132" s="380">
        <v>277.72727272727275</v>
      </c>
      <c r="E132" s="380">
        <v>147.86363636363637</v>
      </c>
      <c r="F132" s="380">
        <v>79.727272727272734</v>
      </c>
      <c r="G132" s="380">
        <v>130.54545454545453</v>
      </c>
      <c r="H132" s="380">
        <v>624.68181818181813</v>
      </c>
      <c r="I132" s="380">
        <v>97.590909090909093</v>
      </c>
      <c r="J132" s="380">
        <v>242.31818181818181</v>
      </c>
      <c r="K132" s="380"/>
      <c r="L132" s="380">
        <v>165.18181818181819</v>
      </c>
      <c r="M132" s="380">
        <v>160.58936363636366</v>
      </c>
      <c r="N132" s="380"/>
      <c r="O132" s="381">
        <v>4.6697826086956526</v>
      </c>
      <c r="P132" s="381">
        <v>4.7465652173913044</v>
      </c>
      <c r="Q132" s="381">
        <v>4.9053043478260872</v>
      </c>
      <c r="R132" s="386" t="s">
        <v>216</v>
      </c>
      <c r="S132" s="375"/>
    </row>
    <row r="133" spans="2:19" hidden="1">
      <c r="B133" s="385" t="s">
        <v>217</v>
      </c>
      <c r="C133" s="380">
        <v>103.95238095238095</v>
      </c>
      <c r="D133" s="380">
        <v>290.47619047619048</v>
      </c>
      <c r="E133" s="380">
        <v>147.0952380952381</v>
      </c>
      <c r="F133" s="380">
        <v>80.285714285714292</v>
      </c>
      <c r="G133" s="380">
        <v>108.38095238095238</v>
      </c>
      <c r="H133" s="380">
        <v>629.85714285714289</v>
      </c>
      <c r="I133" s="380">
        <v>98.61904761904762</v>
      </c>
      <c r="J133" s="380">
        <v>284.90476190476193</v>
      </c>
      <c r="K133" s="380"/>
      <c r="L133" s="380">
        <v>168.28571428571428</v>
      </c>
      <c r="M133" s="380">
        <v>159.9488095238095</v>
      </c>
      <c r="N133" s="380"/>
      <c r="O133" s="381">
        <v>5.0248095238095232</v>
      </c>
      <c r="P133" s="381">
        <v>5.1028571428571423</v>
      </c>
      <c r="Q133" s="381">
        <v>5.207809523809523</v>
      </c>
      <c r="R133" s="386" t="s">
        <v>217</v>
      </c>
      <c r="S133" s="375"/>
    </row>
    <row r="134" spans="2:19" hidden="1">
      <c r="B134" s="385" t="s">
        <v>218</v>
      </c>
      <c r="C134" s="380">
        <v>129.47619047619048</v>
      </c>
      <c r="D134" s="380">
        <v>355.28571428571428</v>
      </c>
      <c r="E134" s="380">
        <v>169.38095238095238</v>
      </c>
      <c r="F134" s="380">
        <v>89.80952380952381</v>
      </c>
      <c r="G134" s="380">
        <v>136.04761904761904</v>
      </c>
      <c r="H134" s="380">
        <v>714.33333333333337</v>
      </c>
      <c r="I134" s="380">
        <v>117.57142857142857</v>
      </c>
      <c r="J134" s="380">
        <v>334.66666666666669</v>
      </c>
      <c r="K134" s="380"/>
      <c r="L134" s="380">
        <v>202.71428571428572</v>
      </c>
      <c r="M134" s="380">
        <v>189.2364761904762</v>
      </c>
      <c r="N134" s="380"/>
      <c r="O134" s="381">
        <v>4.8738636363636374</v>
      </c>
      <c r="P134" s="381">
        <v>4.9914090909090918</v>
      </c>
      <c r="Q134" s="381">
        <v>5.1021363636363644</v>
      </c>
      <c r="R134" s="386" t="s">
        <v>231</v>
      </c>
      <c r="S134" s="375"/>
    </row>
    <row r="135" spans="2:19" hidden="1">
      <c r="B135" s="385" t="s">
        <v>219</v>
      </c>
      <c r="C135" s="380">
        <v>168.91304347826087</v>
      </c>
      <c r="D135" s="380">
        <v>460.91304347826087</v>
      </c>
      <c r="E135" s="380">
        <v>200.69565217391303</v>
      </c>
      <c r="F135" s="380">
        <v>107.8695652173913</v>
      </c>
      <c r="G135" s="380">
        <v>186.43478260869566</v>
      </c>
      <c r="H135" s="380">
        <v>701.78260869565213</v>
      </c>
      <c r="I135" s="380">
        <v>140.82608695652175</v>
      </c>
      <c r="J135" s="380">
        <v>443.13043478260869</v>
      </c>
      <c r="K135" s="380"/>
      <c r="L135" s="380">
        <v>248.69565217391303</v>
      </c>
      <c r="M135" s="380">
        <v>232.28121739130441</v>
      </c>
      <c r="N135" s="380"/>
      <c r="O135" s="381">
        <v>4.4371739130434786</v>
      </c>
      <c r="P135" s="381">
        <v>4.6773913043478261</v>
      </c>
      <c r="Q135" s="381">
        <v>4.9359565217391301</v>
      </c>
      <c r="R135" s="386" t="s">
        <v>220</v>
      </c>
      <c r="S135" s="375"/>
    </row>
    <row r="136" spans="2:19" hidden="1">
      <c r="B136" s="385" t="s">
        <v>221</v>
      </c>
      <c r="C136" s="380">
        <v>310.31578947368422</v>
      </c>
      <c r="D136" s="380">
        <v>851.57894736842104</v>
      </c>
      <c r="E136" s="380">
        <v>380</v>
      </c>
      <c r="F136" s="380">
        <v>242.31578947368422</v>
      </c>
      <c r="G136" s="380">
        <v>359.4736842105263</v>
      </c>
      <c r="H136" s="380">
        <v>1318.2105263157894</v>
      </c>
      <c r="I136" s="380">
        <v>266.31578947368422</v>
      </c>
      <c r="J136" s="380">
        <v>914</v>
      </c>
      <c r="K136" s="380"/>
      <c r="L136" s="380">
        <v>242.52631578947367</v>
      </c>
      <c r="M136" s="380">
        <v>227.79442105263158</v>
      </c>
      <c r="N136" s="380"/>
      <c r="O136" s="381">
        <v>4.1966000000000001</v>
      </c>
      <c r="P136" s="381">
        <v>4.5156000000000001</v>
      </c>
      <c r="Q136" s="381">
        <v>4.7921499999999995</v>
      </c>
      <c r="R136" s="386" t="s">
        <v>222</v>
      </c>
      <c r="S136" s="375"/>
    </row>
    <row r="137" spans="2:19" hidden="1">
      <c r="B137" s="385" t="s">
        <v>223</v>
      </c>
      <c r="C137" s="380">
        <v>138.59090909090909</v>
      </c>
      <c r="D137" s="380">
        <v>371</v>
      </c>
      <c r="E137" s="380">
        <v>169.09090909090909</v>
      </c>
      <c r="F137" s="380">
        <v>117.04545454545455</v>
      </c>
      <c r="G137" s="380">
        <v>160.68181818181819</v>
      </c>
      <c r="H137" s="380">
        <v>599.13636363636363</v>
      </c>
      <c r="I137" s="380">
        <v>126.36363636363636</v>
      </c>
      <c r="J137" s="380">
        <v>402.95454545454544</v>
      </c>
      <c r="K137" s="380"/>
      <c r="L137" s="380">
        <v>219.59090909090909</v>
      </c>
      <c r="M137" s="380">
        <v>208.06727272727275</v>
      </c>
      <c r="N137" s="380"/>
      <c r="O137" s="381">
        <v>4.2016086956521743</v>
      </c>
      <c r="P137" s="381">
        <v>4.5210869565217395</v>
      </c>
      <c r="Q137" s="381">
        <v>4.779826086956521</v>
      </c>
      <c r="R137" s="386" t="s">
        <v>232</v>
      </c>
      <c r="S137" s="375"/>
    </row>
    <row r="138" spans="2:19" hidden="1">
      <c r="B138" s="385" t="s">
        <v>224</v>
      </c>
      <c r="C138" s="380">
        <v>174.9</v>
      </c>
      <c r="D138" s="380">
        <v>397.15</v>
      </c>
      <c r="E138" s="380">
        <v>210.5</v>
      </c>
      <c r="F138" s="380">
        <v>133.69999999999999</v>
      </c>
      <c r="G138" s="380">
        <v>196.2</v>
      </c>
      <c r="H138" s="380">
        <v>617.1</v>
      </c>
      <c r="I138" s="380">
        <v>158.1</v>
      </c>
      <c r="J138" s="380">
        <v>497.4</v>
      </c>
      <c r="K138" s="380"/>
      <c r="L138" s="380">
        <v>263.55</v>
      </c>
      <c r="M138" s="380">
        <v>247.45305000000002</v>
      </c>
      <c r="N138" s="380"/>
      <c r="O138" s="381">
        <v>3.6458636363636363</v>
      </c>
      <c r="P138" s="381">
        <v>4.1419545454545466</v>
      </c>
      <c r="Q138" s="381">
        <v>4.5214090909090894</v>
      </c>
      <c r="R138" s="386" t="s">
        <v>224</v>
      </c>
      <c r="S138" s="375"/>
    </row>
    <row r="139" spans="2:19" hidden="1">
      <c r="B139" s="385" t="s">
        <v>209</v>
      </c>
      <c r="C139" s="380">
        <v>174.95</v>
      </c>
      <c r="D139" s="380">
        <v>394.31578947368422</v>
      </c>
      <c r="E139" s="380">
        <v>214.78947368421052</v>
      </c>
      <c r="F139" s="380">
        <v>153</v>
      </c>
      <c r="G139" s="380">
        <v>188.15</v>
      </c>
      <c r="H139" s="380">
        <v>605.5</v>
      </c>
      <c r="I139" s="380">
        <v>165.73684210526315</v>
      </c>
      <c r="J139" s="380">
        <v>528.84210526315792</v>
      </c>
      <c r="K139" s="380"/>
      <c r="L139" s="380">
        <v>270.10000000000002</v>
      </c>
      <c r="M139" s="380">
        <v>250.88445000000007</v>
      </c>
      <c r="N139" s="380"/>
      <c r="O139" s="381">
        <v>3.4907142857142852</v>
      </c>
      <c r="P139" s="381">
        <v>4.0952380952380949</v>
      </c>
      <c r="Q139" s="381">
        <v>4.5315238095238088</v>
      </c>
      <c r="R139" s="386" t="s">
        <v>226</v>
      </c>
      <c r="S139" s="375"/>
    </row>
    <row r="140" spans="2:19" ht="4.5" hidden="1" customHeight="1">
      <c r="B140" s="385"/>
      <c r="C140" s="380"/>
      <c r="D140" s="380"/>
      <c r="E140" s="380"/>
      <c r="F140" s="380"/>
      <c r="G140" s="380"/>
      <c r="H140" s="380"/>
      <c r="I140" s="380"/>
      <c r="J140" s="380"/>
      <c r="K140" s="380"/>
      <c r="L140" s="380"/>
      <c r="M140" s="380"/>
      <c r="N140" s="380"/>
      <c r="O140" s="381"/>
      <c r="P140" s="381"/>
      <c r="Q140" s="381"/>
      <c r="R140" s="386"/>
      <c r="S140" s="375"/>
    </row>
    <row r="141" spans="2:19" ht="14.25" hidden="1" customHeight="1">
      <c r="B141" s="383">
        <v>2008</v>
      </c>
      <c r="C141" s="380"/>
      <c r="D141" s="380"/>
      <c r="E141" s="380"/>
      <c r="F141" s="380"/>
      <c r="G141" s="380"/>
      <c r="H141" s="380"/>
      <c r="I141" s="380"/>
      <c r="J141" s="380"/>
      <c r="K141" s="380"/>
      <c r="L141" s="380"/>
      <c r="M141" s="380"/>
      <c r="N141" s="380"/>
      <c r="O141" s="381"/>
      <c r="P141" s="381"/>
      <c r="Q141" s="381"/>
      <c r="R141" s="384">
        <v>2008</v>
      </c>
      <c r="S141" s="375"/>
    </row>
    <row r="142" spans="2:19" hidden="1">
      <c r="B142" s="385" t="s">
        <v>210</v>
      </c>
      <c r="C142" s="380">
        <v>195.85</v>
      </c>
      <c r="D142" s="380">
        <v>443.28571428571428</v>
      </c>
      <c r="E142" s="380">
        <v>242.47619047619048</v>
      </c>
      <c r="F142" s="380">
        <v>164.9</v>
      </c>
      <c r="G142" s="380">
        <v>240.76190476190476</v>
      </c>
      <c r="H142" s="380">
        <v>634.57142857142856</v>
      </c>
      <c r="I142" s="380">
        <v>188.1904761904762</v>
      </c>
      <c r="J142" s="380">
        <v>528.29999999999995</v>
      </c>
      <c r="K142" s="380"/>
      <c r="L142" s="380">
        <v>297.8</v>
      </c>
      <c r="M142" s="380">
        <v>279.69571428571436</v>
      </c>
      <c r="N142" s="380"/>
      <c r="O142" s="381">
        <v>2.9809565217391305</v>
      </c>
      <c r="P142" s="381">
        <v>3.7252608695652172</v>
      </c>
      <c r="Q142" s="381">
        <v>4.3335652173913042</v>
      </c>
      <c r="R142" s="386" t="s">
        <v>211</v>
      </c>
      <c r="S142" s="375"/>
    </row>
    <row r="143" spans="2:19" ht="2.25" hidden="1" customHeight="1">
      <c r="B143" s="385" t="s">
        <v>212</v>
      </c>
      <c r="C143" s="380">
        <v>208.65</v>
      </c>
      <c r="D143" s="380">
        <v>476.55</v>
      </c>
      <c r="E143" s="380">
        <v>256.2</v>
      </c>
      <c r="F143" s="380">
        <v>169.1</v>
      </c>
      <c r="G143" s="380">
        <v>249.4</v>
      </c>
      <c r="H143" s="380">
        <v>639.4</v>
      </c>
      <c r="I143" s="380">
        <v>189.5</v>
      </c>
      <c r="J143" s="380">
        <v>555.5</v>
      </c>
      <c r="K143" s="380"/>
      <c r="L143" s="380">
        <v>311.05</v>
      </c>
      <c r="M143" s="380">
        <v>290.04199999999997</v>
      </c>
      <c r="N143" s="380"/>
      <c r="O143" s="381">
        <v>2.7668571428571433</v>
      </c>
      <c r="P143" s="381">
        <v>3.730142857142857</v>
      </c>
      <c r="Q143" s="381">
        <v>4.5134761904761902</v>
      </c>
      <c r="R143" s="386" t="s">
        <v>212</v>
      </c>
      <c r="S143" s="375"/>
    </row>
    <row r="144" spans="2:19" hidden="1">
      <c r="B144" s="385" t="s">
        <v>213</v>
      </c>
      <c r="C144" s="380">
        <v>220.9</v>
      </c>
      <c r="D144" s="380">
        <v>528.9</v>
      </c>
      <c r="E144" s="380">
        <v>275.94736842105266</v>
      </c>
      <c r="F144" s="380">
        <v>169.25</v>
      </c>
      <c r="G144" s="380">
        <v>263.05</v>
      </c>
      <c r="H144" s="380">
        <v>668.52631578947364</v>
      </c>
      <c r="I144" s="380">
        <v>192.94736842105263</v>
      </c>
      <c r="J144" s="380">
        <v>624.20000000000005</v>
      </c>
      <c r="K144" s="380"/>
      <c r="L144" s="380">
        <v>334.5</v>
      </c>
      <c r="M144" s="380">
        <v>314.05084999999997</v>
      </c>
      <c r="N144" s="380"/>
      <c r="O144" s="381">
        <v>2.467857142857143</v>
      </c>
      <c r="P144" s="381">
        <v>3.4847142857142859</v>
      </c>
      <c r="Q144" s="381">
        <v>4.3802857142857148</v>
      </c>
      <c r="R144" s="386" t="s">
        <v>213</v>
      </c>
      <c r="S144" s="375"/>
    </row>
    <row r="145" spans="2:19" hidden="1">
      <c r="B145" s="385" t="s">
        <v>214</v>
      </c>
      <c r="C145" s="380">
        <v>181.59090909090909</v>
      </c>
      <c r="D145" s="380">
        <v>555.63636363636363</v>
      </c>
      <c r="E145" s="380">
        <v>243.45454545454547</v>
      </c>
      <c r="F145" s="380">
        <v>171.86363636363637</v>
      </c>
      <c r="G145" s="380">
        <v>215.77272727272728</v>
      </c>
      <c r="H145" s="380">
        <v>601.86363636363637</v>
      </c>
      <c r="I145" s="380">
        <v>170.04761904761904</v>
      </c>
      <c r="J145" s="380">
        <v>630.77272727272725</v>
      </c>
      <c r="K145" s="380"/>
      <c r="L145" s="380">
        <v>313.77272727272725</v>
      </c>
      <c r="M145" s="380">
        <v>295.20395454545456</v>
      </c>
      <c r="N145" s="380"/>
      <c r="O145" s="381">
        <v>2.8399523809523806</v>
      </c>
      <c r="P145" s="381">
        <v>3.652761904761904</v>
      </c>
      <c r="Q145" s="381">
        <v>4.4401428571428578</v>
      </c>
      <c r="R145" s="386" t="s">
        <v>215</v>
      </c>
      <c r="S145" s="375"/>
    </row>
    <row r="146" spans="2:19" hidden="1">
      <c r="B146" s="385" t="s">
        <v>216</v>
      </c>
      <c r="C146" s="380">
        <v>154.0952380952381</v>
      </c>
      <c r="D146" s="380">
        <v>552.76190476190482</v>
      </c>
      <c r="E146" s="380">
        <v>204</v>
      </c>
      <c r="F146" s="380">
        <v>158.95238095238096</v>
      </c>
      <c r="G146" s="380">
        <v>179.0952380952381</v>
      </c>
      <c r="H146" s="380">
        <v>561.90476190476193</v>
      </c>
      <c r="I146" s="380">
        <v>154.42857142857142</v>
      </c>
      <c r="J146" s="380">
        <v>640.09523809523807</v>
      </c>
      <c r="K146" s="380"/>
      <c r="L146" s="380">
        <v>290.38095238095241</v>
      </c>
      <c r="M146" s="380">
        <v>274.48319047619054</v>
      </c>
      <c r="N146" s="380"/>
      <c r="O146" s="381">
        <v>3.1473636363636364</v>
      </c>
      <c r="P146" s="381">
        <v>3.8717727272727274</v>
      </c>
      <c r="Q146" s="381">
        <v>4.597090909090908</v>
      </c>
      <c r="R146" s="386" t="s">
        <v>216</v>
      </c>
      <c r="S146" s="375"/>
    </row>
    <row r="147" spans="2:19" hidden="1">
      <c r="B147" s="385" t="s">
        <v>217</v>
      </c>
      <c r="C147" s="380">
        <v>160.28571428571428</v>
      </c>
      <c r="D147" s="380">
        <v>561.76190476190482</v>
      </c>
      <c r="E147" s="380">
        <v>194.0952380952381</v>
      </c>
      <c r="F147" s="380">
        <v>165.95238095238096</v>
      </c>
      <c r="G147" s="380">
        <v>180.61904761904762</v>
      </c>
      <c r="H147" s="380">
        <v>566.95238095238096</v>
      </c>
      <c r="I147" s="380">
        <v>162.04761904761904</v>
      </c>
      <c r="J147" s="380">
        <v>581.04761904761904</v>
      </c>
      <c r="K147" s="380"/>
      <c r="L147" s="380">
        <v>283.09523809523807</v>
      </c>
      <c r="M147" s="380">
        <v>274.01890476190482</v>
      </c>
      <c r="N147" s="380"/>
      <c r="O147" s="381">
        <v>3.4764285714285714</v>
      </c>
      <c r="P147" s="381">
        <v>4.0829047619047616</v>
      </c>
      <c r="Q147" s="381">
        <v>4.6818571428571438</v>
      </c>
      <c r="R147" s="386" t="s">
        <v>217</v>
      </c>
      <c r="S147" s="375"/>
    </row>
    <row r="148" spans="2:19" hidden="1">
      <c r="B148" s="385" t="s">
        <v>233</v>
      </c>
      <c r="C148" s="380">
        <v>197.59090909090909</v>
      </c>
      <c r="D148" s="380">
        <v>626.59090909090912</v>
      </c>
      <c r="E148" s="380">
        <v>231.45454545454547</v>
      </c>
      <c r="F148" s="380">
        <v>180.68181818181819</v>
      </c>
      <c r="G148" s="380">
        <v>217.27272727272728</v>
      </c>
      <c r="H148" s="380">
        <v>665.0454545454545</v>
      </c>
      <c r="I148" s="380">
        <v>198.04545454545453</v>
      </c>
      <c r="J148" s="380">
        <v>623.18181818181813</v>
      </c>
      <c r="K148" s="380"/>
      <c r="L148" s="380">
        <v>322.54545454545456</v>
      </c>
      <c r="M148" s="380">
        <v>309.65313636363635</v>
      </c>
      <c r="N148" s="380"/>
      <c r="O148" s="381">
        <v>3.2839565217391309</v>
      </c>
      <c r="P148" s="381">
        <v>3.9723043478260869</v>
      </c>
      <c r="Q148" s="381">
        <v>4.5597391304347825</v>
      </c>
      <c r="R148" s="386" t="s">
        <v>218</v>
      </c>
      <c r="S148" s="375"/>
    </row>
    <row r="149" spans="2:19" hidden="1">
      <c r="B149" s="385" t="s">
        <v>219</v>
      </c>
      <c r="C149" s="380">
        <v>195.28571428571428</v>
      </c>
      <c r="D149" s="380">
        <v>668.42857142857144</v>
      </c>
      <c r="E149" s="380">
        <v>235.38095238095238</v>
      </c>
      <c r="F149" s="380">
        <v>172.57142857142858</v>
      </c>
      <c r="G149" s="380">
        <v>221.95238095238096</v>
      </c>
      <c r="H149" s="380">
        <v>699.85714285714289</v>
      </c>
      <c r="I149" s="380">
        <v>199.38095238095238</v>
      </c>
      <c r="J149" s="380">
        <v>681.14285714285711</v>
      </c>
      <c r="K149" s="380"/>
      <c r="L149" s="380">
        <v>344.71428571428572</v>
      </c>
      <c r="M149" s="380">
        <v>320.68847619047614</v>
      </c>
      <c r="N149" s="380"/>
      <c r="O149" s="381">
        <v>3.1349999999999998</v>
      </c>
      <c r="P149" s="381">
        <v>3.8790952380952382</v>
      </c>
      <c r="Q149" s="381">
        <v>4.5013809523809529</v>
      </c>
      <c r="R149" s="386" t="s">
        <v>220</v>
      </c>
      <c r="S149" s="375"/>
    </row>
    <row r="150" spans="2:19" hidden="1">
      <c r="B150" s="385" t="s">
        <v>221</v>
      </c>
      <c r="C150" s="380">
        <v>257.76190476190476</v>
      </c>
      <c r="D150" s="380">
        <v>798.71428571428567</v>
      </c>
      <c r="E150" s="380">
        <v>291.66666666666669</v>
      </c>
      <c r="F150" s="380">
        <v>188.85714285714286</v>
      </c>
      <c r="G150" s="380">
        <v>272.71428571428572</v>
      </c>
      <c r="H150" s="380">
        <v>887.52380952380952</v>
      </c>
      <c r="I150" s="380">
        <v>243.14285714285714</v>
      </c>
      <c r="J150" s="380">
        <v>826.71428571428567</v>
      </c>
      <c r="K150" s="380"/>
      <c r="L150" s="380">
        <v>412.61904761904759</v>
      </c>
      <c r="M150" s="380">
        <v>384.47742857142862</v>
      </c>
      <c r="N150" s="380"/>
      <c r="O150" s="381">
        <v>2.886181818181818</v>
      </c>
      <c r="P150" s="381">
        <v>3.6809545454545454</v>
      </c>
      <c r="Q150" s="381">
        <v>4.2750454545454541</v>
      </c>
      <c r="R150" s="386" t="s">
        <v>222</v>
      </c>
      <c r="S150" s="375"/>
    </row>
    <row r="151" spans="2:19" hidden="1">
      <c r="B151" s="385" t="s">
        <v>223</v>
      </c>
      <c r="C151" s="380">
        <v>500.27272727272725</v>
      </c>
      <c r="D151" s="380">
        <v>1487.909090909091</v>
      </c>
      <c r="E151" s="380">
        <v>493</v>
      </c>
      <c r="F151" s="380">
        <v>307.40909090909093</v>
      </c>
      <c r="G151" s="380">
        <v>533</v>
      </c>
      <c r="H151" s="380">
        <v>1987.4545454545455</v>
      </c>
      <c r="I151" s="380">
        <v>436</v>
      </c>
      <c r="J151" s="380">
        <v>1438.7272727272727</v>
      </c>
      <c r="K151" s="380"/>
      <c r="L151" s="380">
        <v>695.77272727272725</v>
      </c>
      <c r="M151" s="380">
        <v>660.80368181818176</v>
      </c>
      <c r="N151" s="380"/>
      <c r="O151" s="381">
        <v>2.7067391304347828</v>
      </c>
      <c r="P151" s="381">
        <v>3.7818260869565212</v>
      </c>
      <c r="Q151" s="381">
        <v>4.1634782608695646</v>
      </c>
      <c r="R151" s="386" t="s">
        <v>223</v>
      </c>
      <c r="S151" s="375"/>
    </row>
    <row r="152" spans="2:19" ht="13.5" hidden="1" customHeight="1">
      <c r="B152" s="385" t="s">
        <v>224</v>
      </c>
      <c r="C152" s="380">
        <v>484.61111111111109</v>
      </c>
      <c r="D152" s="380">
        <v>1789.8888888888889</v>
      </c>
      <c r="E152" s="380">
        <v>470.22222222222223</v>
      </c>
      <c r="F152" s="380">
        <v>352.83333333333331</v>
      </c>
      <c r="G152" s="380">
        <v>551.11111111111109</v>
      </c>
      <c r="H152" s="380">
        <v>3753.2222222222222</v>
      </c>
      <c r="I152" s="380">
        <v>458.55555555555554</v>
      </c>
      <c r="J152" s="380">
        <v>1528.3333333333333</v>
      </c>
      <c r="K152" s="380"/>
      <c r="L152" s="380">
        <v>738.55555555555554</v>
      </c>
      <c r="M152" s="380">
        <v>712.59649999999999</v>
      </c>
      <c r="N152" s="380"/>
      <c r="O152" s="381">
        <v>2.2720999999999996</v>
      </c>
      <c r="P152" s="381">
        <v>3.4798999999999998</v>
      </c>
      <c r="Q152" s="381">
        <v>3.9792999999999998</v>
      </c>
      <c r="R152" s="386" t="s">
        <v>224</v>
      </c>
      <c r="S152" s="375"/>
    </row>
    <row r="153" spans="2:19" hidden="1">
      <c r="B153" s="385" t="s">
        <v>234</v>
      </c>
      <c r="C153" s="380">
        <v>523.68181818181813</v>
      </c>
      <c r="D153" s="380">
        <v>1828.7727272727273</v>
      </c>
      <c r="E153" s="380">
        <v>479.40909090909093</v>
      </c>
      <c r="F153" s="380">
        <v>350.86363636363637</v>
      </c>
      <c r="G153" s="380">
        <v>538.0454545454545</v>
      </c>
      <c r="H153" s="380">
        <v>4240.772727272727</v>
      </c>
      <c r="I153" s="380">
        <v>462.59090909090907</v>
      </c>
      <c r="J153" s="380">
        <v>1788.6818181818182</v>
      </c>
      <c r="L153" s="380">
        <v>776.72727272727275</v>
      </c>
      <c r="M153" s="380">
        <v>759.10504545454535</v>
      </c>
      <c r="N153" s="380"/>
      <c r="O153" s="381">
        <v>1.5158260869565219</v>
      </c>
      <c r="P153" s="381">
        <v>2.3892173913043475</v>
      </c>
      <c r="Q153" s="381">
        <v>2.848260869565217</v>
      </c>
      <c r="R153" s="386" t="s">
        <v>226</v>
      </c>
      <c r="S153" s="375"/>
    </row>
    <row r="154" spans="2:19" ht="4.5" hidden="1" customHeight="1">
      <c r="B154" s="385"/>
      <c r="C154" s="380"/>
      <c r="D154" s="380"/>
      <c r="E154" s="380"/>
      <c r="F154" s="380"/>
      <c r="G154" s="380"/>
      <c r="H154" s="380"/>
      <c r="I154" s="380"/>
      <c r="J154" s="380"/>
      <c r="L154" s="380"/>
      <c r="M154" s="380"/>
      <c r="N154" s="380"/>
      <c r="O154" s="381"/>
      <c r="P154" s="381"/>
      <c r="Q154" s="381"/>
      <c r="R154" s="386"/>
      <c r="S154" s="375"/>
    </row>
    <row r="155" spans="2:19" ht="14.25" hidden="1" customHeight="1">
      <c r="B155" s="383">
        <v>2009</v>
      </c>
      <c r="C155" s="380"/>
      <c r="D155" s="380"/>
      <c r="E155" s="380"/>
      <c r="F155" s="380"/>
      <c r="G155" s="380"/>
      <c r="H155" s="380"/>
      <c r="I155" s="380"/>
      <c r="J155" s="380"/>
      <c r="L155" s="380"/>
      <c r="M155" s="380"/>
      <c r="N155" s="380"/>
      <c r="O155" s="381"/>
      <c r="P155" s="381"/>
      <c r="Q155" s="381"/>
      <c r="R155" s="384">
        <v>2009</v>
      </c>
      <c r="S155" s="375"/>
    </row>
    <row r="156" spans="2:19" hidden="1">
      <c r="B156" s="376" t="s">
        <v>235</v>
      </c>
      <c r="C156" s="380">
        <v>460.05</v>
      </c>
      <c r="D156" s="380">
        <v>1573.55</v>
      </c>
      <c r="E156" s="380">
        <v>429.2</v>
      </c>
      <c r="F156" s="380">
        <v>383.05</v>
      </c>
      <c r="G156" s="380">
        <v>502.3</v>
      </c>
      <c r="H156" s="380">
        <v>3900.55</v>
      </c>
      <c r="I156" s="380">
        <v>421.95</v>
      </c>
      <c r="J156" s="380">
        <v>1705.65</v>
      </c>
      <c r="L156" s="380">
        <v>717.7</v>
      </c>
      <c r="M156" s="380">
        <v>691.20894999999996</v>
      </c>
      <c r="N156" s="380"/>
      <c r="O156" s="381">
        <v>1.5815909090909095</v>
      </c>
      <c r="P156" s="381">
        <v>2.4619545454545455</v>
      </c>
      <c r="Q156" s="381">
        <v>3.0961363636363641</v>
      </c>
      <c r="R156" s="386" t="s">
        <v>236</v>
      </c>
      <c r="S156" s="375"/>
    </row>
    <row r="157" spans="2:19" hidden="1">
      <c r="B157" s="376" t="s">
        <v>212</v>
      </c>
      <c r="C157" s="380">
        <v>419.05263157894734</v>
      </c>
      <c r="D157" s="380">
        <v>1644.6315789473683</v>
      </c>
      <c r="E157" s="380">
        <v>427.05263157894734</v>
      </c>
      <c r="F157" s="380">
        <v>370.5263157894737</v>
      </c>
      <c r="G157" s="380">
        <v>477.78947368421052</v>
      </c>
      <c r="H157" s="380">
        <v>3632.5789473684213</v>
      </c>
      <c r="I157" s="380">
        <v>432.94736842105266</v>
      </c>
      <c r="J157" s="380">
        <v>1744.5263157894738</v>
      </c>
      <c r="L157" s="380">
        <v>710.78947368421052</v>
      </c>
      <c r="M157" s="380">
        <v>677.99442105263154</v>
      </c>
      <c r="N157" s="380"/>
      <c r="O157" s="381">
        <v>1.8674999999999997</v>
      </c>
      <c r="P157" s="381">
        <v>2.8560499999999993</v>
      </c>
      <c r="Q157" s="381">
        <v>3.5935000000000001</v>
      </c>
      <c r="R157" s="386" t="s">
        <v>212</v>
      </c>
      <c r="S157" s="375"/>
    </row>
    <row r="158" spans="2:19" hidden="1">
      <c r="B158" s="385" t="s">
        <v>237</v>
      </c>
      <c r="C158" s="380">
        <v>408.90909090909093</v>
      </c>
      <c r="D158" s="380">
        <v>1862.9545454545455</v>
      </c>
      <c r="E158" s="380">
        <v>432.95454545454544</v>
      </c>
      <c r="F158" s="380">
        <v>318.72727272727275</v>
      </c>
      <c r="G158" s="380">
        <v>483.40909090909093</v>
      </c>
      <c r="H158" s="380">
        <v>3534.409090909091</v>
      </c>
      <c r="I158" s="380">
        <v>448.81818181818181</v>
      </c>
      <c r="J158" s="380">
        <v>1594.8181818181818</v>
      </c>
      <c r="L158" s="380">
        <v>703.59090909090912</v>
      </c>
      <c r="M158" s="380">
        <v>675.59281818181807</v>
      </c>
      <c r="N158" s="380"/>
      <c r="O158" s="381">
        <v>1.8097727272727271</v>
      </c>
      <c r="P158" s="381">
        <v>2.8039545454545456</v>
      </c>
      <c r="Q158" s="381">
        <v>3.6384545454545458</v>
      </c>
      <c r="R158" s="386" t="s">
        <v>213</v>
      </c>
      <c r="S158" s="375"/>
    </row>
    <row r="159" spans="2:19" hidden="1">
      <c r="B159" s="385" t="s">
        <v>238</v>
      </c>
      <c r="C159" s="380">
        <v>359.57142857142856</v>
      </c>
      <c r="D159" s="380">
        <v>1786.3809523809523</v>
      </c>
      <c r="E159" s="380">
        <v>382.1904761904762</v>
      </c>
      <c r="F159" s="380">
        <v>303.42857142857144</v>
      </c>
      <c r="G159" s="380">
        <v>417.23809523809524</v>
      </c>
      <c r="H159" s="380">
        <v>3417.2380952380954</v>
      </c>
      <c r="I159" s="380">
        <v>370.38095238095241</v>
      </c>
      <c r="J159" s="380">
        <v>1378.3333333333333</v>
      </c>
      <c r="L159" s="380">
        <v>624.09523809523807</v>
      </c>
      <c r="M159" s="380">
        <v>583.96647619047599</v>
      </c>
      <c r="N159" s="380"/>
      <c r="O159" s="381">
        <v>1.8315999999999999</v>
      </c>
      <c r="P159" s="381">
        <v>2.8770000000000002</v>
      </c>
      <c r="Q159" s="381">
        <v>3.7322000000000002</v>
      </c>
      <c r="R159" s="386" t="s">
        <v>215</v>
      </c>
      <c r="S159" s="375"/>
    </row>
    <row r="160" spans="2:19" hidden="1">
      <c r="B160" s="385" t="s">
        <v>239</v>
      </c>
      <c r="C160" s="380">
        <v>292.14999999999998</v>
      </c>
      <c r="D160" s="380" t="e">
        <v>#N/A</v>
      </c>
      <c r="E160" s="380" t="e">
        <v>#N/A</v>
      </c>
      <c r="F160" s="380">
        <v>248.6</v>
      </c>
      <c r="G160" s="380">
        <v>323.25</v>
      </c>
      <c r="H160" s="380" t="e">
        <v>#N/A</v>
      </c>
      <c r="I160" s="380" t="e">
        <v>#N/A</v>
      </c>
      <c r="J160" s="380" t="e">
        <v>#N/A</v>
      </c>
      <c r="L160" s="380" t="e">
        <v>#N/A</v>
      </c>
      <c r="M160" s="380" t="e">
        <v>#N/A</v>
      </c>
      <c r="N160" s="380"/>
      <c r="O160" s="381">
        <v>2.1300476190476196</v>
      </c>
      <c r="P160" s="381">
        <v>3.2975714285714282</v>
      </c>
      <c r="Q160" s="381">
        <v>4.2393333333333336</v>
      </c>
      <c r="R160" s="386" t="s">
        <v>239</v>
      </c>
      <c r="S160" s="375"/>
    </row>
    <row r="161" spans="2:19" hidden="1">
      <c r="B161" s="385" t="s">
        <v>240</v>
      </c>
      <c r="C161" s="380">
        <v>257.5</v>
      </c>
      <c r="D161" s="380">
        <v>1138.6818181818182</v>
      </c>
      <c r="E161" s="380">
        <v>278.77272727272725</v>
      </c>
      <c r="F161" s="380">
        <v>172</v>
      </c>
      <c r="G161" s="380">
        <v>297.54545454545456</v>
      </c>
      <c r="H161" s="380">
        <v>2727.409090909091</v>
      </c>
      <c r="I161" s="380">
        <v>271.81818181818181</v>
      </c>
      <c r="J161" s="380">
        <v>1173.3181818181818</v>
      </c>
      <c r="L161" s="380">
        <v>484.40909090909093</v>
      </c>
      <c r="M161" s="380">
        <v>436.51995454545448</v>
      </c>
      <c r="N161" s="380"/>
      <c r="O161" s="381">
        <v>2.6932727272727282</v>
      </c>
      <c r="P161" s="381">
        <v>3.7031818181818181</v>
      </c>
      <c r="Q161" s="381">
        <v>4.5101818181818176</v>
      </c>
      <c r="R161" s="386" t="s">
        <v>240</v>
      </c>
      <c r="S161" s="375"/>
    </row>
    <row r="162" spans="2:19" hidden="1">
      <c r="B162" s="385" t="s">
        <v>233</v>
      </c>
      <c r="C162" s="380">
        <v>273.86363636363637</v>
      </c>
      <c r="D162" s="380">
        <v>1038.6818181818182</v>
      </c>
      <c r="E162" s="380">
        <v>268.13636363636363</v>
      </c>
      <c r="F162" s="380">
        <v>162.72727272727272</v>
      </c>
      <c r="G162" s="380">
        <v>297.27272727272725</v>
      </c>
      <c r="H162" s="380">
        <v>1263.8181818181818</v>
      </c>
      <c r="I162" s="380">
        <v>262.40909090909093</v>
      </c>
      <c r="J162" s="380">
        <v>1208.7727272727273</v>
      </c>
      <c r="L162" s="380">
        <v>452.45454545454544</v>
      </c>
      <c r="M162" s="380">
        <v>419.81918181818179</v>
      </c>
      <c r="N162" s="380"/>
      <c r="O162" s="381">
        <v>2.4421739130434785</v>
      </c>
      <c r="P162" s="381">
        <v>3.5337826086956516</v>
      </c>
      <c r="Q162" s="381">
        <v>4.4024782608695663</v>
      </c>
      <c r="R162" s="386" t="s">
        <v>233</v>
      </c>
      <c r="S162" s="375"/>
    </row>
    <row r="163" spans="2:19" hidden="1">
      <c r="B163" s="385" t="s">
        <v>219</v>
      </c>
      <c r="C163" s="380">
        <v>240</v>
      </c>
      <c r="D163" s="380">
        <v>900.33333333333337</v>
      </c>
      <c r="E163" s="380">
        <v>252.57142857142858</v>
      </c>
      <c r="F163" s="380">
        <v>134.57142857142858</v>
      </c>
      <c r="G163" s="380">
        <v>261.14285714285717</v>
      </c>
      <c r="H163" s="380">
        <v>1130.8095238095239</v>
      </c>
      <c r="I163" s="380">
        <v>236.76190476190476</v>
      </c>
      <c r="J163" s="380">
        <v>1036.5238095238096</v>
      </c>
      <c r="L163" s="380">
        <v>407.57142857142856</v>
      </c>
      <c r="M163" s="380">
        <v>376.29247619047624</v>
      </c>
      <c r="N163" s="380"/>
      <c r="O163" s="381">
        <v>2.5565714285714285</v>
      </c>
      <c r="P163" s="381">
        <v>3.5760476190476189</v>
      </c>
      <c r="Q163" s="381">
        <v>4.3715238095238096</v>
      </c>
      <c r="R163" s="386" t="s">
        <v>220</v>
      </c>
      <c r="S163" s="375"/>
    </row>
    <row r="164" spans="2:19" hidden="1">
      <c r="B164" s="385" t="s">
        <v>241</v>
      </c>
      <c r="C164" s="380">
        <v>224.95238095238096</v>
      </c>
      <c r="D164" s="380">
        <v>820.52380952380952</v>
      </c>
      <c r="E164" s="380">
        <v>239.71428571428572</v>
      </c>
      <c r="F164" s="380">
        <v>142.57142857142858</v>
      </c>
      <c r="G164" s="380">
        <v>249.42857142857142</v>
      </c>
      <c r="H164" s="380">
        <v>1019.952380952381</v>
      </c>
      <c r="I164" s="380">
        <v>237.8095238095238</v>
      </c>
      <c r="J164" s="380">
        <v>939.33333333333337</v>
      </c>
      <c r="L164" s="380">
        <v>386</v>
      </c>
      <c r="M164" s="380">
        <v>352.46985714285722</v>
      </c>
      <c r="N164" s="380"/>
      <c r="O164" s="381">
        <v>2.3604090909090907</v>
      </c>
      <c r="P164" s="381">
        <v>3.3948636363636364</v>
      </c>
      <c r="Q164" s="381">
        <v>4.1898181818181817</v>
      </c>
      <c r="R164" s="386" t="s">
        <v>222</v>
      </c>
      <c r="S164" s="375"/>
    </row>
    <row r="165" spans="2:19" hidden="1">
      <c r="B165" s="385" t="s">
        <v>242</v>
      </c>
      <c r="C165" s="380">
        <v>196.61904761904762</v>
      </c>
      <c r="D165" s="380">
        <v>708.76190476190482</v>
      </c>
      <c r="E165" s="380">
        <v>227.04761904761904</v>
      </c>
      <c r="F165" s="380">
        <v>138.47619047619048</v>
      </c>
      <c r="G165" s="380">
        <v>220.38095238095238</v>
      </c>
      <c r="H165" s="380">
        <v>853.19047619047615</v>
      </c>
      <c r="I165" s="380">
        <v>223.95238095238096</v>
      </c>
      <c r="J165" s="380">
        <v>950.09523809523807</v>
      </c>
      <c r="L165" s="380">
        <v>365.38095238095241</v>
      </c>
      <c r="M165" s="380">
        <v>321.94609523809527</v>
      </c>
      <c r="N165" s="380"/>
      <c r="O165" s="381">
        <v>2.319227272727272</v>
      </c>
      <c r="P165" s="381">
        <v>3.3656363636363635</v>
      </c>
      <c r="Q165" s="381">
        <v>4.1893181818181828</v>
      </c>
      <c r="R165" s="386" t="s">
        <v>242</v>
      </c>
      <c r="S165" s="375"/>
    </row>
    <row r="166" spans="2:19" hidden="1">
      <c r="B166" s="385" t="s">
        <v>224</v>
      </c>
      <c r="C166" s="380">
        <v>191.21052631578948</v>
      </c>
      <c r="D166" s="380">
        <v>725.63157894736844</v>
      </c>
      <c r="E166" s="380">
        <v>219.84210526315789</v>
      </c>
      <c r="F166" s="380">
        <v>130.10526315789474</v>
      </c>
      <c r="G166" s="380">
        <v>214.73684210526315</v>
      </c>
      <c r="H166" s="380">
        <v>821.89473684210532</v>
      </c>
      <c r="I166" s="380">
        <v>211.26315789473685</v>
      </c>
      <c r="J166" s="380">
        <v>1061.6842105263158</v>
      </c>
      <c r="L166" s="380">
        <v>368.68421052631578</v>
      </c>
      <c r="M166" s="380">
        <v>325.69715789473679</v>
      </c>
      <c r="N166" s="380"/>
      <c r="O166" s="381">
        <v>2.2132380952380948</v>
      </c>
      <c r="P166" s="381">
        <v>3.3851904761904761</v>
      </c>
      <c r="Q166" s="381">
        <v>4.3122380952380954</v>
      </c>
      <c r="R166" s="386" t="s">
        <v>224</v>
      </c>
      <c r="S166" s="375"/>
    </row>
    <row r="167" spans="2:19" hidden="1">
      <c r="B167" s="385" t="s">
        <v>209</v>
      </c>
      <c r="C167" s="380">
        <v>178.95454545454547</v>
      </c>
      <c r="D167" s="380">
        <v>719.9545454545455</v>
      </c>
      <c r="E167" s="380">
        <v>201.77272727272728</v>
      </c>
      <c r="F167" s="380">
        <v>111</v>
      </c>
      <c r="G167" s="380">
        <v>208.13636363636363</v>
      </c>
      <c r="H167" s="380" t="e">
        <v>#N/A</v>
      </c>
      <c r="I167" s="380">
        <v>202.09090909090909</v>
      </c>
      <c r="J167" s="380">
        <v>1125.2727272727273</v>
      </c>
      <c r="K167" s="380"/>
      <c r="L167" s="380" t="e">
        <v>#N/A</v>
      </c>
      <c r="M167" s="380">
        <v>309.57686363636361</v>
      </c>
      <c r="N167" s="380"/>
      <c r="O167" s="381">
        <v>2.3339130434782605</v>
      </c>
      <c r="P167" s="381">
        <v>3.5900434782608701</v>
      </c>
      <c r="Q167" s="381">
        <v>4.5032608695652172</v>
      </c>
      <c r="R167" s="386" t="s">
        <v>243</v>
      </c>
      <c r="S167" s="375"/>
    </row>
    <row r="168" spans="2:19" ht="4.5" hidden="1" customHeight="1">
      <c r="B168" s="385"/>
      <c r="C168" s="380"/>
      <c r="D168" s="380"/>
      <c r="E168" s="380"/>
      <c r="F168" s="380"/>
      <c r="G168" s="380"/>
      <c r="H168" s="380"/>
      <c r="I168" s="380"/>
      <c r="J168" s="380"/>
      <c r="K168" s="380"/>
      <c r="L168" s="380"/>
      <c r="M168" s="380"/>
      <c r="N168" s="380"/>
      <c r="O168" s="381"/>
      <c r="P168" s="381"/>
      <c r="Q168" s="381"/>
      <c r="R168" s="385"/>
      <c r="S168" s="375"/>
    </row>
    <row r="169" spans="2:19" ht="13.5" hidden="1" customHeight="1">
      <c r="B169" s="395">
        <v>2010</v>
      </c>
      <c r="C169" s="380"/>
      <c r="D169" s="380"/>
      <c r="E169" s="380"/>
      <c r="F169" s="380"/>
      <c r="G169" s="380"/>
      <c r="H169" s="380"/>
      <c r="I169" s="380"/>
      <c r="J169" s="380"/>
      <c r="K169" s="380"/>
      <c r="L169" s="380"/>
      <c r="M169" s="380"/>
      <c r="N169" s="380"/>
      <c r="O169" s="381"/>
      <c r="P169" s="381"/>
      <c r="Q169" s="381"/>
      <c r="R169" s="396">
        <v>2010</v>
      </c>
      <c r="S169" s="375"/>
    </row>
    <row r="170" spans="2:19" hidden="1">
      <c r="B170" s="385" t="s">
        <v>235</v>
      </c>
      <c r="C170" s="380">
        <v>179.68421052631578</v>
      </c>
      <c r="D170" s="380">
        <v>711.68421052631584</v>
      </c>
      <c r="E170" s="380">
        <v>206</v>
      </c>
      <c r="F170" s="380">
        <v>107.89473684210526</v>
      </c>
      <c r="G170" s="380">
        <v>210.63157894736841</v>
      </c>
      <c r="H170" s="380">
        <v>758</v>
      </c>
      <c r="I170" s="380">
        <v>195.47368421052633</v>
      </c>
      <c r="J170" s="380">
        <v>932.84210526315792</v>
      </c>
      <c r="K170" s="380"/>
      <c r="L170" s="380">
        <v>355.42105263157896</v>
      </c>
      <c r="M170" s="380">
        <v>300.66189473684204</v>
      </c>
      <c r="N170" s="380"/>
      <c r="O170" s="381">
        <v>2.4737142857142862</v>
      </c>
      <c r="P170" s="381">
        <v>3.713142857142858</v>
      </c>
      <c r="Q170" s="381">
        <v>4.6039523809523812</v>
      </c>
      <c r="R170" s="386" t="s">
        <v>211</v>
      </c>
      <c r="S170" s="375"/>
    </row>
    <row r="171" spans="2:19" hidden="1">
      <c r="B171" s="385" t="s">
        <v>244</v>
      </c>
      <c r="C171" s="380">
        <v>200.210526315789</v>
      </c>
      <c r="D171" s="380">
        <v>790.36842105263156</v>
      </c>
      <c r="E171" s="380">
        <v>220.78947368421052</v>
      </c>
      <c r="F171" s="380">
        <v>132.15789473684211</v>
      </c>
      <c r="G171" s="380">
        <v>235.42105263157896</v>
      </c>
      <c r="H171" s="380">
        <v>811.47368421052636</v>
      </c>
      <c r="I171" s="380">
        <v>203.94736842105263</v>
      </c>
      <c r="J171" s="380">
        <v>985.26315789473688</v>
      </c>
      <c r="K171" s="380"/>
      <c r="L171" s="380">
        <v>376</v>
      </c>
      <c r="M171" s="380">
        <v>319.85373684210526</v>
      </c>
      <c r="N171" s="380"/>
      <c r="O171" s="381">
        <v>2.35005</v>
      </c>
      <c r="P171" s="381">
        <v>3.6789000000000001</v>
      </c>
      <c r="Q171" s="381">
        <v>4.6208499999999999</v>
      </c>
      <c r="R171" s="386" t="s">
        <v>245</v>
      </c>
      <c r="S171" s="375"/>
    </row>
    <row r="172" spans="2:19" hidden="1">
      <c r="B172" s="385" t="s">
        <v>213</v>
      </c>
      <c r="C172" s="380">
        <v>157.81818181818181</v>
      </c>
      <c r="D172" s="380">
        <v>705.4545454545455</v>
      </c>
      <c r="E172" s="380">
        <v>186.68181818181819</v>
      </c>
      <c r="F172" s="380">
        <v>128.22727272727272</v>
      </c>
      <c r="G172" s="380">
        <v>188.86363636363637</v>
      </c>
      <c r="H172" s="380">
        <v>821.81818181818187</v>
      </c>
      <c r="I172" s="380">
        <v>168.63636363636363</v>
      </c>
      <c r="J172" s="380">
        <v>912.68181818181813</v>
      </c>
      <c r="K172" s="380"/>
      <c r="L172" s="380">
        <v>330.95454545454544</v>
      </c>
      <c r="M172" s="380">
        <v>275.78777272727268</v>
      </c>
      <c r="N172" s="380"/>
      <c r="O172" s="381">
        <v>2.4221739130434785</v>
      </c>
      <c r="P172" s="381">
        <v>3.7188695652173909</v>
      </c>
      <c r="Q172" s="381">
        <v>4.6461304347826085</v>
      </c>
      <c r="R172" s="386" t="s">
        <v>237</v>
      </c>
      <c r="S172" s="375"/>
    </row>
    <row r="173" spans="2:19" hidden="1">
      <c r="B173" s="385" t="s">
        <v>214</v>
      </c>
      <c r="C173" s="380">
        <v>143.57142857142858</v>
      </c>
      <c r="D173" s="380">
        <v>629.90476190476193</v>
      </c>
      <c r="E173" s="380">
        <v>176.71428571428572</v>
      </c>
      <c r="F173" s="380">
        <v>111.04761904761905</v>
      </c>
      <c r="G173" s="380">
        <v>172.76190476190476</v>
      </c>
      <c r="H173" s="380">
        <v>815.66666666666663</v>
      </c>
      <c r="I173" s="380">
        <v>161.23809523809524</v>
      </c>
      <c r="J173" s="380">
        <v>851.42857142857144</v>
      </c>
      <c r="K173" s="380"/>
      <c r="L173" s="380">
        <v>309.76190476190476</v>
      </c>
      <c r="M173" s="380">
        <v>254.52671428571426</v>
      </c>
      <c r="N173" s="380"/>
      <c r="O173" s="381">
        <v>2.5641818181818183</v>
      </c>
      <c r="P173" s="381">
        <v>3.8217727272727275</v>
      </c>
      <c r="Q173" s="381">
        <v>4.6910909090909101</v>
      </c>
      <c r="R173" s="386" t="s">
        <v>246</v>
      </c>
      <c r="S173" s="375"/>
    </row>
    <row r="174" spans="2:19" hidden="1">
      <c r="B174" s="385" t="s">
        <v>216</v>
      </c>
      <c r="C174" s="380">
        <v>201.45</v>
      </c>
      <c r="D174" s="380">
        <v>766.2</v>
      </c>
      <c r="E174" s="380">
        <v>224.45</v>
      </c>
      <c r="F174" s="380">
        <v>140.19999999999999</v>
      </c>
      <c r="G174" s="380">
        <v>230.55</v>
      </c>
      <c r="H174" s="380">
        <v>898.85</v>
      </c>
      <c r="I174" s="380">
        <v>211.25</v>
      </c>
      <c r="J174" s="380">
        <v>1095.8499999999999</v>
      </c>
      <c r="K174" s="380"/>
      <c r="L174" s="380">
        <v>382.5</v>
      </c>
      <c r="M174" s="380">
        <v>323.66555</v>
      </c>
      <c r="N174" s="380"/>
      <c r="O174" s="381">
        <v>2.1614285714285715</v>
      </c>
      <c r="P174" s="381">
        <v>3.4008095238095231</v>
      </c>
      <c r="Q174" s="381">
        <v>4.2769523809523804</v>
      </c>
      <c r="R174" s="386" t="s">
        <v>216</v>
      </c>
      <c r="S174" s="375"/>
    </row>
    <row r="175" spans="2:19" hidden="1">
      <c r="B175" s="385" t="s">
        <v>217</v>
      </c>
      <c r="C175" s="380">
        <v>206.81818181818181</v>
      </c>
      <c r="D175" s="380">
        <v>804.68181818181813</v>
      </c>
      <c r="E175" s="380">
        <v>235.04545454545453</v>
      </c>
      <c r="F175" s="380">
        <v>154.40909090909091</v>
      </c>
      <c r="G175" s="380">
        <v>223.04545454545453</v>
      </c>
      <c r="H175" s="380">
        <v>964.68181818181813</v>
      </c>
      <c r="I175" s="380">
        <v>208.40909090909091</v>
      </c>
      <c r="J175" s="380">
        <v>1224.9545454545455</v>
      </c>
      <c r="L175" s="380">
        <v>400.77272727272725</v>
      </c>
      <c r="M175" s="380">
        <v>341.96768181818175</v>
      </c>
      <c r="N175" s="380"/>
      <c r="O175" s="381">
        <v>1.9836363636363634</v>
      </c>
      <c r="P175" s="381">
        <v>3.1889545454545458</v>
      </c>
      <c r="Q175" s="381">
        <v>4.1216818181818189</v>
      </c>
      <c r="R175" s="386" t="s">
        <v>217</v>
      </c>
      <c r="S175" s="375"/>
    </row>
    <row r="176" spans="2:19" hidden="1">
      <c r="B176" s="385" t="s">
        <v>218</v>
      </c>
      <c r="C176" s="380">
        <v>185.71428571428572</v>
      </c>
      <c r="D176" s="380">
        <v>765.33333333333337</v>
      </c>
      <c r="E176" s="380">
        <v>221.71428571428572</v>
      </c>
      <c r="F176" s="380">
        <v>137.95238095238096</v>
      </c>
      <c r="G176" s="380">
        <v>197.66666666666666</v>
      </c>
      <c r="H176" s="380">
        <v>1014.5238095238095</v>
      </c>
      <c r="I176" s="380">
        <v>200.28571428571428</v>
      </c>
      <c r="J176" s="380">
        <v>1188.2857142857142</v>
      </c>
      <c r="L176" s="380">
        <v>387.8095238095238</v>
      </c>
      <c r="M176" s="380">
        <v>330.1329047619048</v>
      </c>
      <c r="N176" s="380"/>
      <c r="O176" s="381">
        <v>1.7508636363636363</v>
      </c>
      <c r="P176" s="381">
        <v>2.9859545454545455</v>
      </c>
      <c r="Q176" s="381">
        <v>3.9929545454545452</v>
      </c>
      <c r="R176" s="386" t="s">
        <v>218</v>
      </c>
      <c r="S176" s="375"/>
    </row>
    <row r="177" spans="2:19" hidden="1">
      <c r="B177" s="385" t="s">
        <v>230</v>
      </c>
      <c r="C177" s="380">
        <v>156.59090909090909</v>
      </c>
      <c r="D177" s="380">
        <v>713.5454545454545</v>
      </c>
      <c r="E177" s="380">
        <v>204.04545454545453</v>
      </c>
      <c r="F177" s="380">
        <v>132.68181818181819</v>
      </c>
      <c r="G177" s="380">
        <v>165.77272727272728</v>
      </c>
      <c r="H177" s="380">
        <v>1036.1363636363637</v>
      </c>
      <c r="I177" s="380">
        <v>178.5</v>
      </c>
      <c r="J177" s="380">
        <v>1139.7727272727273</v>
      </c>
      <c r="K177" s="380"/>
      <c r="L177" s="380">
        <v>361.59090909090907</v>
      </c>
      <c r="M177" s="380">
        <v>303.68740909090911</v>
      </c>
      <c r="N177" s="380"/>
      <c r="O177" s="381">
        <v>1.4550454545454543</v>
      </c>
      <c r="P177" s="381">
        <v>2.6823181818181818</v>
      </c>
      <c r="Q177" s="381">
        <v>3.8003636363636359</v>
      </c>
      <c r="R177" s="386" t="s">
        <v>247</v>
      </c>
      <c r="S177" s="375"/>
    </row>
    <row r="178" spans="2:19" hidden="1">
      <c r="B178" s="385" t="s">
        <v>221</v>
      </c>
      <c r="C178" s="380">
        <v>167.57142857142858</v>
      </c>
      <c r="D178" s="380">
        <v>703.76190476190482</v>
      </c>
      <c r="E178" s="380">
        <v>208.1904761904762</v>
      </c>
      <c r="F178" s="380">
        <v>133.47619047619048</v>
      </c>
      <c r="G178" s="380">
        <v>175.95238095238096</v>
      </c>
      <c r="H178" s="380">
        <v>1036.4761904761904</v>
      </c>
      <c r="I178" s="380">
        <v>199.14285714285714</v>
      </c>
      <c r="J178" s="380">
        <v>1222.3809523809523</v>
      </c>
      <c r="K178" s="380"/>
      <c r="L178" s="380">
        <v>372.57142857142856</v>
      </c>
      <c r="M178" s="380">
        <v>309.19361904761911</v>
      </c>
      <c r="N178" s="380"/>
      <c r="O178" s="381">
        <v>1.402590909090909</v>
      </c>
      <c r="P178" s="381">
        <v>2.6397727272727272</v>
      </c>
      <c r="Q178" s="381">
        <v>3.7759090909090918</v>
      </c>
      <c r="R178" s="386" t="s">
        <v>222</v>
      </c>
      <c r="S178" s="375"/>
    </row>
    <row r="179" spans="2:19" hidden="1">
      <c r="B179" s="385" t="s">
        <v>223</v>
      </c>
      <c r="C179" s="380">
        <v>156.44999999999999</v>
      </c>
      <c r="D179" s="380">
        <v>614</v>
      </c>
      <c r="E179" s="380">
        <v>183.55</v>
      </c>
      <c r="F179" s="380">
        <v>133.15</v>
      </c>
      <c r="G179" s="380">
        <v>157.5</v>
      </c>
      <c r="H179" s="380">
        <v>1015.8</v>
      </c>
      <c r="I179" s="380">
        <v>182.95</v>
      </c>
      <c r="J179" s="380">
        <v>1132.55</v>
      </c>
      <c r="K179" s="380"/>
      <c r="L179" s="380">
        <v>345.35</v>
      </c>
      <c r="M179" s="380">
        <v>287.34174999999999</v>
      </c>
      <c r="N179" s="380"/>
      <c r="O179" s="381">
        <v>1.1697619047619046</v>
      </c>
      <c r="P179" s="381">
        <v>2.5104285714285712</v>
      </c>
      <c r="Q179" s="381">
        <v>3.868666666666666</v>
      </c>
      <c r="R179" s="386" t="s">
        <v>223</v>
      </c>
      <c r="S179" s="375"/>
    </row>
    <row r="180" spans="2:19" hidden="1">
      <c r="B180" s="385" t="s">
        <v>224</v>
      </c>
      <c r="C180" s="380">
        <v>151.31578947368422</v>
      </c>
      <c r="D180" s="380">
        <v>546.78947368421052</v>
      </c>
      <c r="E180" s="380">
        <v>176.52631578947367</v>
      </c>
      <c r="F180" s="380">
        <v>123.52631578947368</v>
      </c>
      <c r="G180" s="380">
        <v>151.73684210526315</v>
      </c>
      <c r="H180" s="380">
        <v>997.9473684210526</v>
      </c>
      <c r="I180" s="380">
        <v>165.84210526315789</v>
      </c>
      <c r="J180" s="380">
        <v>1148.7894736842106</v>
      </c>
      <c r="K180" s="380"/>
      <c r="L180" s="380">
        <v>346</v>
      </c>
      <c r="M180" s="380">
        <v>283.28621052631581</v>
      </c>
      <c r="N180" s="380"/>
      <c r="O180" s="381">
        <v>1.3468181818181821</v>
      </c>
      <c r="P180" s="381">
        <v>2.746818181818182</v>
      </c>
      <c r="Q180" s="381">
        <v>4.1913636363636364</v>
      </c>
      <c r="R180" s="386" t="s">
        <v>224</v>
      </c>
      <c r="S180" s="375"/>
    </row>
    <row r="181" spans="2:19" hidden="1">
      <c r="B181" s="385" t="s">
        <v>209</v>
      </c>
      <c r="C181" s="380">
        <v>156.54545454545453</v>
      </c>
      <c r="D181" s="380">
        <v>521.22727272727275</v>
      </c>
      <c r="E181" s="380">
        <v>177.90909090909091</v>
      </c>
      <c r="F181" s="380">
        <v>115.77272727272727</v>
      </c>
      <c r="G181" s="380">
        <v>160.54545454545453</v>
      </c>
      <c r="H181" s="380">
        <v>928.36363636363637</v>
      </c>
      <c r="I181" s="380">
        <v>163.27272727272728</v>
      </c>
      <c r="J181" s="380">
        <v>1132.0454545454545</v>
      </c>
      <c r="K181" s="397"/>
      <c r="L181" s="380">
        <v>350.27272727272725</v>
      </c>
      <c r="M181" s="380">
        <v>282.6162727272727</v>
      </c>
      <c r="N181" s="380"/>
      <c r="O181" s="381">
        <v>1.9242608695652172</v>
      </c>
      <c r="P181" s="381">
        <v>3.2806956521739137</v>
      </c>
      <c r="Q181" s="381">
        <v>4.4170000000000007</v>
      </c>
      <c r="R181" s="386" t="s">
        <v>226</v>
      </c>
      <c r="S181" s="375"/>
    </row>
    <row r="182" spans="2:19" ht="4.5" customHeight="1">
      <c r="B182" s="385"/>
      <c r="C182" s="380"/>
      <c r="D182" s="380"/>
      <c r="E182" s="380"/>
      <c r="F182" s="380"/>
      <c r="G182" s="380"/>
      <c r="H182" s="380"/>
      <c r="I182" s="380"/>
      <c r="J182" s="380"/>
      <c r="K182" s="397"/>
      <c r="L182" s="380"/>
      <c r="M182" s="380"/>
      <c r="N182" s="380"/>
      <c r="O182" s="381"/>
      <c r="P182" s="381"/>
      <c r="Q182" s="381"/>
      <c r="R182" s="386"/>
      <c r="S182" s="375"/>
    </row>
    <row r="183" spans="2:19" hidden="1">
      <c r="B183" s="395">
        <v>2011</v>
      </c>
      <c r="C183" s="398">
        <v>190.97801432930149</v>
      </c>
      <c r="D183" s="398">
        <v>686.77452541102423</v>
      </c>
      <c r="E183" s="398">
        <v>195.19955356110961</v>
      </c>
      <c r="F183" s="398">
        <v>138.63133381048141</v>
      </c>
      <c r="G183" s="398">
        <v>167.8965752242926</v>
      </c>
      <c r="H183" s="398">
        <v>823.45020117817603</v>
      </c>
      <c r="I183" s="398">
        <v>186.37274898379019</v>
      </c>
      <c r="J183" s="398">
        <v>1212.1465072843505</v>
      </c>
      <c r="K183" s="397"/>
      <c r="L183" s="398">
        <v>403.9190472062898</v>
      </c>
      <c r="M183" s="398">
        <v>341.55519797608321</v>
      </c>
      <c r="N183" s="380"/>
      <c r="O183" s="399">
        <v>1.5128409420289854</v>
      </c>
      <c r="P183" s="399">
        <v>2.7698301297132821</v>
      </c>
      <c r="Q183" s="399">
        <v>3.9121291078486728</v>
      </c>
      <c r="R183" s="396">
        <v>2011</v>
      </c>
      <c r="S183" s="375"/>
    </row>
    <row r="184" spans="2:19" hidden="1">
      <c r="B184" s="385" t="s">
        <v>210</v>
      </c>
      <c r="C184" s="380">
        <v>145.69999999999999</v>
      </c>
      <c r="D184" s="380">
        <v>497</v>
      </c>
      <c r="E184" s="380">
        <v>171.25</v>
      </c>
      <c r="F184" s="380">
        <v>116.4</v>
      </c>
      <c r="G184" s="380">
        <v>145.94999999999999</v>
      </c>
      <c r="H184" s="380">
        <v>864.95</v>
      </c>
      <c r="I184" s="380">
        <v>155.80000000000001</v>
      </c>
      <c r="J184" s="380">
        <v>1119.8</v>
      </c>
      <c r="L184" s="380">
        <v>342.5</v>
      </c>
      <c r="M184" s="380">
        <v>282.88275000000004</v>
      </c>
      <c r="N184" s="380"/>
      <c r="O184" s="381">
        <v>1.9767142857142852</v>
      </c>
      <c r="P184" s="381">
        <v>3.3620952380952382</v>
      </c>
      <c r="Q184" s="381">
        <v>4.5223809523809519</v>
      </c>
      <c r="R184" s="386" t="s">
        <v>211</v>
      </c>
      <c r="S184" s="375"/>
    </row>
    <row r="185" spans="2:19" hidden="1">
      <c r="B185" s="385" t="s">
        <v>244</v>
      </c>
      <c r="C185" s="380">
        <v>146.05263157894737</v>
      </c>
      <c r="D185" s="380">
        <v>541.73684210526312</v>
      </c>
      <c r="E185" s="380">
        <v>174.89473684210526</v>
      </c>
      <c r="F185" s="380">
        <v>113.94736842105263</v>
      </c>
      <c r="G185" s="380">
        <v>151</v>
      </c>
      <c r="H185" s="380">
        <v>763.21052631578948</v>
      </c>
      <c r="I185" s="380">
        <v>157.47368421052633</v>
      </c>
      <c r="J185" s="380">
        <v>1117.9473684210527</v>
      </c>
      <c r="L185" s="380">
        <v>347.78947368421052</v>
      </c>
      <c r="M185" s="380">
        <v>285.78110526315794</v>
      </c>
      <c r="N185" s="380"/>
      <c r="O185" s="381">
        <v>2.2471999999999999</v>
      </c>
      <c r="P185" s="381">
        <v>3.5642500000000004</v>
      </c>
      <c r="Q185" s="381">
        <v>4.6522999999999994</v>
      </c>
      <c r="R185" s="386" t="s">
        <v>244</v>
      </c>
      <c r="S185" s="375"/>
    </row>
    <row r="186" spans="2:19" hidden="1">
      <c r="B186" s="385" t="s">
        <v>213</v>
      </c>
      <c r="C186" s="380">
        <v>156.78260869565219</v>
      </c>
      <c r="D186" s="380">
        <v>566.13043478260875</v>
      </c>
      <c r="E186" s="380">
        <v>173.82608695652175</v>
      </c>
      <c r="F186" s="380">
        <v>114.26086956521739</v>
      </c>
      <c r="G186" s="380">
        <v>155.13043478260869</v>
      </c>
      <c r="H186" s="380">
        <v>781.04347826086962</v>
      </c>
      <c r="I186" s="380">
        <v>157.39130434782609</v>
      </c>
      <c r="J186" s="380">
        <v>1147.5652173913043</v>
      </c>
      <c r="K186" s="380"/>
      <c r="L186" s="380">
        <v>364.39130434782606</v>
      </c>
      <c r="M186" s="380">
        <v>297.4907391304348</v>
      </c>
      <c r="N186" s="380"/>
      <c r="O186" s="381">
        <v>2.0994782608695646</v>
      </c>
      <c r="P186" s="381">
        <v>3.4026956521739131</v>
      </c>
      <c r="Q186" s="381">
        <v>4.5124782608695648</v>
      </c>
      <c r="R186" s="386" t="s">
        <v>213</v>
      </c>
      <c r="S186" s="375"/>
    </row>
    <row r="187" spans="2:19" hidden="1">
      <c r="B187" s="385" t="s">
        <v>214</v>
      </c>
      <c r="C187" s="380">
        <v>192.35</v>
      </c>
      <c r="D187" s="380">
        <v>533.04999999999995</v>
      </c>
      <c r="E187" s="380">
        <v>173.4</v>
      </c>
      <c r="F187" s="380">
        <v>120.15</v>
      </c>
      <c r="G187" s="380">
        <v>151.6</v>
      </c>
      <c r="H187" s="380">
        <v>760.6</v>
      </c>
      <c r="I187" s="380">
        <v>160.75</v>
      </c>
      <c r="J187" s="380">
        <v>1112.9000000000001</v>
      </c>
      <c r="K187" s="380"/>
      <c r="L187" s="380">
        <v>370.5</v>
      </c>
      <c r="M187" s="380">
        <v>296.31644999999997</v>
      </c>
      <c r="N187" s="380"/>
      <c r="O187" s="381">
        <v>2.1508095238095244</v>
      </c>
      <c r="P187" s="381">
        <v>3.43047619047619</v>
      </c>
      <c r="Q187" s="381">
        <v>4.501380952380952</v>
      </c>
      <c r="R187" s="386" t="s">
        <v>215</v>
      </c>
      <c r="S187" s="375"/>
    </row>
    <row r="188" spans="2:19" hidden="1">
      <c r="B188" s="385" t="s">
        <v>216</v>
      </c>
      <c r="C188" s="380">
        <v>187.47619047619048</v>
      </c>
      <c r="D188" s="380">
        <v>580.80952380952385</v>
      </c>
      <c r="E188" s="380">
        <v>170.8095238095238</v>
      </c>
      <c r="F188" s="380">
        <v>127.14285714285714</v>
      </c>
      <c r="G188" s="380">
        <v>147.28571428571428</v>
      </c>
      <c r="H188" s="380">
        <v>786.14285714285711</v>
      </c>
      <c r="I188" s="380">
        <v>161.57142857142858</v>
      </c>
      <c r="J188" s="380">
        <v>1169.8095238095239</v>
      </c>
      <c r="K188" s="380"/>
      <c r="L188" s="380">
        <v>378.8095238095238</v>
      </c>
      <c r="M188" s="380">
        <v>304.91823809523805</v>
      </c>
      <c r="N188" s="380"/>
      <c r="O188" s="381">
        <v>1.825136363636364</v>
      </c>
      <c r="P188" s="381">
        <v>3.1539090909090906</v>
      </c>
      <c r="Q188" s="381">
        <v>4.2885454545454529</v>
      </c>
      <c r="R188" s="386" t="s">
        <v>216</v>
      </c>
      <c r="S188" s="375"/>
    </row>
    <row r="189" spans="2:19" hidden="1">
      <c r="B189" s="385" t="s">
        <v>240</v>
      </c>
      <c r="C189" s="380">
        <v>192.36363636363637</v>
      </c>
      <c r="D189" s="380">
        <v>604.68181818181813</v>
      </c>
      <c r="E189" s="380">
        <v>173.5</v>
      </c>
      <c r="F189" s="380">
        <v>136.04545454545453</v>
      </c>
      <c r="G189" s="380">
        <v>144.63636363636363</v>
      </c>
      <c r="H189" s="380">
        <v>799.40909090909088</v>
      </c>
      <c r="I189" s="380">
        <v>166.72727272727272</v>
      </c>
      <c r="J189" s="380">
        <v>1207.0454545454545</v>
      </c>
      <c r="K189" s="380"/>
      <c r="L189" s="380">
        <v>388</v>
      </c>
      <c r="M189" s="380">
        <v>314.04604545454544</v>
      </c>
      <c r="N189" s="380"/>
      <c r="O189" s="381">
        <v>1.5658636363636367</v>
      </c>
      <c r="P189" s="381">
        <v>2.9875454545454545</v>
      </c>
      <c r="Q189" s="381">
        <v>4.2339090909090906</v>
      </c>
      <c r="R189" s="386" t="s">
        <v>217</v>
      </c>
      <c r="S189" s="375"/>
    </row>
    <row r="190" spans="2:19" hidden="1">
      <c r="B190" s="385" t="s">
        <v>218</v>
      </c>
      <c r="C190" s="380">
        <v>171</v>
      </c>
      <c r="D190" s="380">
        <v>595.04999999999995</v>
      </c>
      <c r="E190" s="380">
        <v>164.35</v>
      </c>
      <c r="F190" s="380">
        <v>129.1</v>
      </c>
      <c r="G190" s="380">
        <v>141.80000000000001</v>
      </c>
      <c r="H190" s="380">
        <v>783.45</v>
      </c>
      <c r="I190" s="380">
        <v>161.05000000000001</v>
      </c>
      <c r="J190" s="380">
        <v>1118.75</v>
      </c>
      <c r="L190" s="380">
        <v>367.6</v>
      </c>
      <c r="M190" s="380">
        <v>303.28460000000001</v>
      </c>
      <c r="N190" s="380"/>
      <c r="O190" s="381">
        <v>1.5381428571428568</v>
      </c>
      <c r="P190" s="381">
        <v>2.9858095238095239</v>
      </c>
      <c r="Q190" s="381">
        <v>4.2766666666666673</v>
      </c>
      <c r="R190" s="386" t="s">
        <v>218</v>
      </c>
      <c r="S190" s="375"/>
    </row>
    <row r="191" spans="2:19" hidden="1">
      <c r="B191" s="385" t="s">
        <v>219</v>
      </c>
      <c r="C191" s="380">
        <v>199.56521739130434</v>
      </c>
      <c r="D191" s="380">
        <v>719.04347826086962</v>
      </c>
      <c r="E191" s="380">
        <v>202.65217391304347</v>
      </c>
      <c r="F191" s="380">
        <v>147.30434782608697</v>
      </c>
      <c r="G191" s="380">
        <v>170.82608695652175</v>
      </c>
      <c r="H191" s="380">
        <v>863.78260869565213</v>
      </c>
      <c r="I191" s="380">
        <v>197.34782608695653</v>
      </c>
      <c r="J191" s="380">
        <v>1259.2608695652175</v>
      </c>
      <c r="L191" s="380">
        <v>416.73913043478262</v>
      </c>
      <c r="M191" s="380">
        <v>355.53243478260868</v>
      </c>
      <c r="N191" s="380"/>
      <c r="O191" s="381">
        <v>1.0189130434782609</v>
      </c>
      <c r="P191" s="381">
        <v>2.2901739130434779</v>
      </c>
      <c r="Q191" s="381">
        <v>3.6496086956521747</v>
      </c>
      <c r="R191" s="386" t="s">
        <v>220</v>
      </c>
      <c r="S191" s="375"/>
    </row>
    <row r="192" spans="2:19" ht="12.75" hidden="1" customHeight="1">
      <c r="B192" s="385" t="s">
        <v>221</v>
      </c>
      <c r="C192" s="380">
        <v>237.45454545454547</v>
      </c>
      <c r="D192" s="380">
        <v>873.5</v>
      </c>
      <c r="E192" s="380">
        <v>244</v>
      </c>
      <c r="F192" s="380">
        <v>171.63636363636363</v>
      </c>
      <c r="G192" s="380">
        <v>214.81818181818181</v>
      </c>
      <c r="H192" s="380">
        <v>880.36363636363637</v>
      </c>
      <c r="I192" s="380">
        <v>238.04545454545453</v>
      </c>
      <c r="J192" s="380">
        <v>1381.590909090909</v>
      </c>
      <c r="L192" s="380">
        <v>470.13636363636363</v>
      </c>
      <c r="M192" s="380">
        <v>408.06990909090911</v>
      </c>
      <c r="N192" s="380"/>
      <c r="O192" s="381">
        <v>0.88568181818181813</v>
      </c>
      <c r="P192" s="381">
        <v>1.9619545454545457</v>
      </c>
      <c r="Q192" s="381">
        <v>3.1835909090909094</v>
      </c>
      <c r="R192" s="386" t="s">
        <v>222</v>
      </c>
      <c r="S192" s="375"/>
    </row>
    <row r="193" spans="2:19" hidden="1">
      <c r="B193" s="385" t="s">
        <v>223</v>
      </c>
      <c r="C193" s="380">
        <v>231.95238095238096</v>
      </c>
      <c r="D193" s="380">
        <v>907.57142857142856</v>
      </c>
      <c r="E193" s="380">
        <v>241.14285714285714</v>
      </c>
      <c r="F193" s="380">
        <v>168.28571428571428</v>
      </c>
      <c r="G193" s="380">
        <v>207.0952380952381</v>
      </c>
      <c r="H193" s="380">
        <v>888.42857142857144</v>
      </c>
      <c r="I193" s="380">
        <v>236.76190476190476</v>
      </c>
      <c r="J193" s="380">
        <v>1343.7619047619048</v>
      </c>
      <c r="L193" s="380">
        <v>482.52380952380952</v>
      </c>
      <c r="M193" s="380">
        <v>422.65357142857135</v>
      </c>
      <c r="N193" s="380"/>
      <c r="O193" s="381">
        <v>1.0523333333333331</v>
      </c>
      <c r="P193" s="381">
        <v>2.1281428571428571</v>
      </c>
      <c r="Q193" s="381">
        <v>3.1241428571428571</v>
      </c>
      <c r="R193" s="386" t="s">
        <v>223</v>
      </c>
      <c r="S193" s="375"/>
    </row>
    <row r="194" spans="2:19" hidden="1">
      <c r="B194" s="385" t="s">
        <v>224</v>
      </c>
      <c r="C194" s="380">
        <v>214.18181818181819</v>
      </c>
      <c r="D194" s="380">
        <v>895.86363636363637</v>
      </c>
      <c r="E194" s="380">
        <v>231.04545454545453</v>
      </c>
      <c r="F194" s="380">
        <v>158.63636363636363</v>
      </c>
      <c r="G194" s="380">
        <v>197.04545454545453</v>
      </c>
      <c r="H194" s="380">
        <v>867.5454545454545</v>
      </c>
      <c r="I194" s="380">
        <v>223.36363636363637</v>
      </c>
      <c r="J194" s="380">
        <v>1306.1363636363637</v>
      </c>
      <c r="L194" s="380">
        <v>464.18181818181819</v>
      </c>
      <c r="M194" s="380">
        <v>412.61181818181814</v>
      </c>
      <c r="N194" s="380"/>
      <c r="O194" s="381">
        <v>0.90095454545454534</v>
      </c>
      <c r="P194" s="381">
        <v>1.9999545454545453</v>
      </c>
      <c r="Q194" s="381">
        <v>3.0136363636363637</v>
      </c>
      <c r="R194" s="386" t="s">
        <v>224</v>
      </c>
      <c r="S194" s="375"/>
    </row>
    <row r="195" spans="2:19" hidden="1">
      <c r="B195" s="385" t="s">
        <v>209</v>
      </c>
      <c r="C195" s="380">
        <v>216.85714285714286</v>
      </c>
      <c r="D195" s="380">
        <v>926.85714285714289</v>
      </c>
      <c r="E195" s="380">
        <v>221.52380952380952</v>
      </c>
      <c r="F195" s="380">
        <v>160.66666666666666</v>
      </c>
      <c r="G195" s="380">
        <v>187.57142857142858</v>
      </c>
      <c r="H195" s="380">
        <v>842.47619047619048</v>
      </c>
      <c r="I195" s="380">
        <v>220.1904761904762</v>
      </c>
      <c r="J195" s="380">
        <v>1261.1904761904761</v>
      </c>
      <c r="L195" s="380">
        <v>453.85714285714283</v>
      </c>
      <c r="M195" s="380">
        <v>415.07471428571444</v>
      </c>
      <c r="N195" s="380"/>
      <c r="O195" s="381">
        <v>0.89286363636363619</v>
      </c>
      <c r="P195" s="381">
        <v>1.9709545454545454</v>
      </c>
      <c r="Q195" s="381">
        <v>2.9869090909090903</v>
      </c>
      <c r="R195" s="386" t="s">
        <v>226</v>
      </c>
      <c r="S195" s="375"/>
    </row>
    <row r="196" spans="2:19" ht="3" customHeight="1">
      <c r="B196" s="385"/>
      <c r="C196" s="380"/>
      <c r="D196" s="380"/>
      <c r="E196" s="380"/>
      <c r="F196" s="380"/>
      <c r="G196" s="380"/>
      <c r="H196" s="380"/>
      <c r="I196" s="380"/>
      <c r="J196" s="380"/>
      <c r="L196" s="380"/>
      <c r="M196" s="380"/>
      <c r="N196" s="380"/>
      <c r="O196" s="381"/>
      <c r="P196" s="381"/>
      <c r="Q196" s="381"/>
      <c r="R196" s="386"/>
      <c r="S196" s="375"/>
    </row>
    <row r="197" spans="2:19" hidden="1">
      <c r="B197" s="395">
        <v>2012</v>
      </c>
      <c r="C197" s="398">
        <v>157.0420383963862</v>
      </c>
      <c r="D197" s="398">
        <v>987.99747004203527</v>
      </c>
      <c r="E197" s="398">
        <v>183.29037031808775</v>
      </c>
      <c r="F197" s="398">
        <v>150.82105213626954</v>
      </c>
      <c r="G197" s="398">
        <v>147.61545187903886</v>
      </c>
      <c r="H197" s="398">
        <v>813.64861895351021</v>
      </c>
      <c r="I197" s="398">
        <v>187.95879838760277</v>
      </c>
      <c r="J197" s="398">
        <v>1011.6975029801119</v>
      </c>
      <c r="L197" s="398">
        <v>392.83530804943842</v>
      </c>
      <c r="M197" s="398">
        <v>342.10339819546397</v>
      </c>
      <c r="N197" s="380"/>
      <c r="O197" s="399">
        <v>0.7547022578267143</v>
      </c>
      <c r="P197" s="399">
        <v>1.7856883061986328</v>
      </c>
      <c r="Q197" s="399">
        <v>2.9198043564527261</v>
      </c>
      <c r="R197" s="396">
        <v>2012</v>
      </c>
      <c r="S197" s="375"/>
    </row>
    <row r="198" spans="2:19" hidden="1">
      <c r="B198" s="385" t="s">
        <v>210</v>
      </c>
      <c r="C198" s="380">
        <v>218.9</v>
      </c>
      <c r="D198" s="380">
        <v>850.95</v>
      </c>
      <c r="E198" s="380">
        <v>222.4</v>
      </c>
      <c r="F198" s="380">
        <v>164.15</v>
      </c>
      <c r="G198" s="380">
        <v>196.65</v>
      </c>
      <c r="H198" s="380">
        <v>804.65</v>
      </c>
      <c r="I198" s="380">
        <v>228.7</v>
      </c>
      <c r="J198" s="380">
        <v>1206.75</v>
      </c>
      <c r="L198" s="380">
        <v>460</v>
      </c>
      <c r="M198" s="380">
        <v>420.99619999999993</v>
      </c>
      <c r="N198" s="380"/>
      <c r="O198" s="388">
        <v>0.82513636363636345</v>
      </c>
      <c r="P198" s="381">
        <v>1.9353181818181817</v>
      </c>
      <c r="Q198" s="388">
        <v>3.0141363636363638</v>
      </c>
      <c r="R198" s="386" t="s">
        <v>211</v>
      </c>
      <c r="S198" s="375"/>
    </row>
    <row r="199" spans="2:19" hidden="1">
      <c r="B199" s="385" t="s">
        <v>212</v>
      </c>
      <c r="C199" s="380">
        <v>199.6</v>
      </c>
      <c r="D199" s="380">
        <v>822.45</v>
      </c>
      <c r="E199" s="380">
        <v>204.3</v>
      </c>
      <c r="F199" s="380">
        <v>157.94999999999999</v>
      </c>
      <c r="G199" s="380">
        <v>175.95</v>
      </c>
      <c r="H199" s="380">
        <v>790.4</v>
      </c>
      <c r="I199" s="380">
        <v>208.2</v>
      </c>
      <c r="J199" s="380">
        <v>1037.4000000000001</v>
      </c>
      <c r="L199" s="380">
        <v>414.5</v>
      </c>
      <c r="M199" s="380">
        <v>378.55095</v>
      </c>
      <c r="N199" s="380"/>
      <c r="O199" s="391">
        <v>0.82800000000000007</v>
      </c>
      <c r="P199" s="381">
        <v>1.9604761904761905</v>
      </c>
      <c r="Q199" s="381">
        <v>3.1128095238095246</v>
      </c>
      <c r="R199" s="386" t="s">
        <v>212</v>
      </c>
      <c r="S199" s="375"/>
    </row>
    <row r="200" spans="2:19" hidden="1">
      <c r="B200" s="385" t="s">
        <v>213</v>
      </c>
      <c r="C200" s="380">
        <v>165.59090909090909</v>
      </c>
      <c r="D200" s="380">
        <v>823.22727272727275</v>
      </c>
      <c r="E200" s="380">
        <v>179.09090909090909</v>
      </c>
      <c r="F200" s="380">
        <v>150.31818181818181</v>
      </c>
      <c r="G200" s="380">
        <v>149.09090909090909</v>
      </c>
      <c r="H200" s="380">
        <v>802.72727272727275</v>
      </c>
      <c r="I200" s="380">
        <v>190.27272727272728</v>
      </c>
      <c r="J200" s="380">
        <v>911.13636363636363</v>
      </c>
      <c r="L200" s="380">
        <v>372.36363636363637</v>
      </c>
      <c r="M200" s="380">
        <v>336.56154545454547</v>
      </c>
      <c r="N200" s="380"/>
      <c r="O200" s="400">
        <v>1.0069999999999999</v>
      </c>
      <c r="P200" s="381">
        <v>2.1605909090909092</v>
      </c>
      <c r="Q200" s="400">
        <v>3.2796818181818184</v>
      </c>
      <c r="R200" s="386" t="s">
        <v>213</v>
      </c>
      <c r="S200" s="375"/>
    </row>
    <row r="201" spans="2:19" hidden="1">
      <c r="B201" s="385" t="s">
        <v>214</v>
      </c>
      <c r="C201" s="380">
        <v>164.35</v>
      </c>
      <c r="D201" s="380">
        <v>967.25</v>
      </c>
      <c r="E201" s="380">
        <v>185.55</v>
      </c>
      <c r="F201" s="380">
        <v>159.05000000000001</v>
      </c>
      <c r="G201" s="380">
        <v>147.4</v>
      </c>
      <c r="H201" s="380">
        <v>805</v>
      </c>
      <c r="I201" s="380">
        <v>190.15</v>
      </c>
      <c r="J201" s="380">
        <v>984</v>
      </c>
      <c r="L201" s="380">
        <v>392.3</v>
      </c>
      <c r="M201" s="380">
        <v>354.20874999999995</v>
      </c>
      <c r="N201" s="380"/>
      <c r="O201" s="400">
        <v>0.88795238095238083</v>
      </c>
      <c r="P201" s="381">
        <v>2.0294285714285714</v>
      </c>
      <c r="Q201" s="400">
        <v>3.1855714285714289</v>
      </c>
      <c r="R201" s="386" t="s">
        <v>215</v>
      </c>
      <c r="S201" s="375"/>
    </row>
    <row r="202" spans="2:19" hidden="1">
      <c r="B202" s="385" t="s">
        <v>216</v>
      </c>
      <c r="C202" s="380">
        <v>179.77272727272728</v>
      </c>
      <c r="D202" s="380">
        <v>1089.3636363636363</v>
      </c>
      <c r="E202" s="380">
        <v>211.77272727272728</v>
      </c>
      <c r="F202" s="380">
        <v>167.5</v>
      </c>
      <c r="G202" s="380">
        <v>173.40909090909091</v>
      </c>
      <c r="H202" s="380">
        <v>850.22727272727275</v>
      </c>
      <c r="I202" s="380">
        <v>210.68181818181819</v>
      </c>
      <c r="J202" s="380">
        <v>1071.5454545454545</v>
      </c>
      <c r="L202" s="380">
        <v>425.40909090909093</v>
      </c>
      <c r="M202" s="380">
        <v>382.07845454545458</v>
      </c>
      <c r="N202" s="380"/>
      <c r="O202" s="400">
        <v>0.75560869565217392</v>
      </c>
      <c r="P202" s="381">
        <v>1.7858260869565215</v>
      </c>
      <c r="Q202" s="400">
        <v>2.9222173913043479</v>
      </c>
      <c r="R202" s="386" t="s">
        <v>216</v>
      </c>
      <c r="S202" s="375"/>
    </row>
    <row r="203" spans="2:19" hidden="1">
      <c r="B203" s="385" t="s">
        <v>217</v>
      </c>
      <c r="C203" s="380">
        <v>188.42857142857142</v>
      </c>
      <c r="D203" s="380">
        <v>1128.6190476190477</v>
      </c>
      <c r="E203" s="380">
        <v>218.71428571428572</v>
      </c>
      <c r="F203" s="380">
        <v>176.71428571428572</v>
      </c>
      <c r="G203" s="380">
        <v>172.76190476190476</v>
      </c>
      <c r="H203" s="380">
        <v>889.85714285714289</v>
      </c>
      <c r="I203" s="380">
        <v>219.76190476190476</v>
      </c>
      <c r="J203" s="380">
        <v>1144.6190476190477</v>
      </c>
      <c r="L203" s="380">
        <v>444.09523809523807</v>
      </c>
      <c r="M203" s="380">
        <v>395.19757142857139</v>
      </c>
      <c r="N203" s="380"/>
      <c r="O203" s="400">
        <v>0.706952380952381</v>
      </c>
      <c r="P203" s="381">
        <v>1.6083333333333336</v>
      </c>
      <c r="Q203" s="400">
        <v>2.6975238095238092</v>
      </c>
      <c r="R203" s="386" t="s">
        <v>217</v>
      </c>
      <c r="S203" s="375"/>
    </row>
    <row r="204" spans="2:19" hidden="1">
      <c r="B204" s="385" t="s">
        <v>218</v>
      </c>
      <c r="C204" s="380">
        <v>162.59090909090909</v>
      </c>
      <c r="D204" s="380">
        <v>1089.6363636363637</v>
      </c>
      <c r="E204" s="380">
        <v>201.95454545454547</v>
      </c>
      <c r="F204" s="380">
        <v>168.18181818181819</v>
      </c>
      <c r="G204" s="380">
        <v>150.95454545454547</v>
      </c>
      <c r="H204" s="380">
        <v>856.86363636363637</v>
      </c>
      <c r="I204" s="380">
        <v>187.5</v>
      </c>
      <c r="J204" s="380">
        <v>1108.1363636363637</v>
      </c>
      <c r="L204" s="380">
        <v>415.63636363636363</v>
      </c>
      <c r="M204" s="380">
        <v>359.93099999999998</v>
      </c>
      <c r="N204" s="380"/>
      <c r="O204" s="400">
        <v>0.61918181818181817</v>
      </c>
      <c r="P204" s="381">
        <v>1.5049090909090912</v>
      </c>
      <c r="Q204" s="400">
        <v>2.5965000000000003</v>
      </c>
      <c r="R204" s="386" t="s">
        <v>218</v>
      </c>
      <c r="S204" s="375"/>
    </row>
    <row r="205" spans="2:19" hidden="1">
      <c r="B205" s="385" t="s">
        <v>219</v>
      </c>
      <c r="C205" s="380">
        <v>133.13043478260869</v>
      </c>
      <c r="D205" s="380">
        <v>1039.0869565217392</v>
      </c>
      <c r="E205" s="380">
        <v>169.95652173913044</v>
      </c>
      <c r="F205" s="380">
        <v>141.95652173913044</v>
      </c>
      <c r="G205" s="380">
        <v>128.78260869565219</v>
      </c>
      <c r="H205" s="380">
        <v>804.52173913043475</v>
      </c>
      <c r="I205" s="380">
        <v>168.7391304347826</v>
      </c>
      <c r="J205" s="380">
        <v>1013.4782608695652</v>
      </c>
      <c r="L205" s="380">
        <v>375.17391304347825</v>
      </c>
      <c r="M205" s="380">
        <v>319.67434782608694</v>
      </c>
      <c r="N205" s="380"/>
      <c r="O205" s="400">
        <v>0.70791304347826089</v>
      </c>
      <c r="P205" s="381">
        <v>1.6695217391304349</v>
      </c>
      <c r="Q205" s="400">
        <v>2.7708695652173909</v>
      </c>
      <c r="R205" s="386" t="s">
        <v>220</v>
      </c>
      <c r="S205" s="375"/>
    </row>
    <row r="206" spans="2:19" hidden="1">
      <c r="B206" s="385" t="s">
        <v>221</v>
      </c>
      <c r="C206" s="380">
        <v>124</v>
      </c>
      <c r="D206" s="380">
        <v>924.35</v>
      </c>
      <c r="E206" s="380">
        <v>161.15</v>
      </c>
      <c r="F206" s="380">
        <v>137.5</v>
      </c>
      <c r="G206" s="380">
        <v>126.5</v>
      </c>
      <c r="H206" s="380">
        <v>753.2</v>
      </c>
      <c r="I206" s="380">
        <v>166.9</v>
      </c>
      <c r="J206" s="380">
        <v>970.7</v>
      </c>
      <c r="L206" s="380">
        <v>359.7</v>
      </c>
      <c r="M206" s="380">
        <v>300.63544999999999</v>
      </c>
      <c r="N206" s="380"/>
      <c r="O206" s="400">
        <v>0.6570499999999998</v>
      </c>
      <c r="P206" s="381">
        <v>1.6995500000000003</v>
      </c>
      <c r="Q206" s="400">
        <v>2.8683500000000004</v>
      </c>
      <c r="R206" s="386" t="s">
        <v>222</v>
      </c>
      <c r="S206" s="375"/>
    </row>
    <row r="207" spans="2:19" hidden="1">
      <c r="B207" s="385" t="s">
        <v>223</v>
      </c>
      <c r="C207" s="380">
        <v>107.59090909090909</v>
      </c>
      <c r="D207" s="380">
        <v>884.63636363636363</v>
      </c>
      <c r="E207" s="380">
        <v>146.04545454545453</v>
      </c>
      <c r="F207" s="380">
        <v>127.18181818181819</v>
      </c>
      <c r="G207" s="380">
        <v>110.13636363636364</v>
      </c>
      <c r="H207" s="380">
        <v>763.63636363636363</v>
      </c>
      <c r="I207" s="380">
        <v>154.5</v>
      </c>
      <c r="J207" s="380">
        <v>947.9545454545455</v>
      </c>
      <c r="L207" s="380">
        <v>352.54545454545456</v>
      </c>
      <c r="M207" s="380">
        <v>287.6134090909091</v>
      </c>
      <c r="N207" s="380"/>
      <c r="O207" s="400">
        <v>0.70508695652173903</v>
      </c>
      <c r="P207" s="381">
        <v>1.7230869565217395</v>
      </c>
      <c r="Q207" s="400">
        <v>2.9067391304347829</v>
      </c>
      <c r="R207" s="386" t="s">
        <v>223</v>
      </c>
      <c r="S207" s="375"/>
    </row>
    <row r="208" spans="2:19" hidden="1">
      <c r="B208" s="385" t="s">
        <v>224</v>
      </c>
      <c r="C208" s="380">
        <v>122.75</v>
      </c>
      <c r="D208" s="380">
        <v>1192.5</v>
      </c>
      <c r="E208" s="380">
        <v>152.5</v>
      </c>
      <c r="F208" s="380">
        <v>136.30000000000001</v>
      </c>
      <c r="G208" s="380">
        <v>122.75</v>
      </c>
      <c r="H208" s="380">
        <v>815.8</v>
      </c>
      <c r="I208" s="380">
        <v>168.3</v>
      </c>
      <c r="J208" s="380">
        <v>943.95</v>
      </c>
      <c r="L208" s="380">
        <v>368</v>
      </c>
      <c r="M208" s="380">
        <v>295.78194999999999</v>
      </c>
      <c r="N208" s="380"/>
      <c r="O208" s="400">
        <v>0.66454545454545455</v>
      </c>
      <c r="P208" s="381">
        <v>1.6494090909090908</v>
      </c>
      <c r="Q208" s="400">
        <v>2.8036818181818179</v>
      </c>
      <c r="R208" s="386" t="s">
        <v>224</v>
      </c>
      <c r="S208" s="375"/>
    </row>
    <row r="209" spans="2:19" hidden="1">
      <c r="B209" s="385" t="s">
        <v>209</v>
      </c>
      <c r="C209" s="380">
        <v>117.8</v>
      </c>
      <c r="D209" s="380">
        <v>1043.9000000000001</v>
      </c>
      <c r="E209" s="380">
        <v>146.05000000000001</v>
      </c>
      <c r="F209" s="380">
        <v>123.05</v>
      </c>
      <c r="G209" s="380">
        <v>117</v>
      </c>
      <c r="H209" s="380">
        <v>826.9</v>
      </c>
      <c r="I209" s="380">
        <v>161.80000000000001</v>
      </c>
      <c r="J209" s="380">
        <v>800.7</v>
      </c>
      <c r="L209" s="380">
        <v>334.3</v>
      </c>
      <c r="M209" s="380">
        <v>274.01114999999999</v>
      </c>
      <c r="N209" s="380"/>
      <c r="O209" s="400">
        <v>0.69199999999999995</v>
      </c>
      <c r="P209" s="381">
        <v>1.7018095238095239</v>
      </c>
      <c r="Q209" s="400">
        <v>2.8795714285714289</v>
      </c>
      <c r="R209" s="386" t="s">
        <v>226</v>
      </c>
      <c r="S209" s="375"/>
    </row>
    <row r="210" spans="2:19" hidden="1">
      <c r="B210" s="385"/>
      <c r="C210" s="380"/>
      <c r="D210" s="380"/>
      <c r="E210" s="380"/>
      <c r="F210" s="380"/>
      <c r="G210" s="380"/>
      <c r="H210" s="380"/>
      <c r="I210" s="380"/>
      <c r="J210" s="380"/>
      <c r="K210" s="380"/>
      <c r="L210" s="380"/>
      <c r="M210" s="380"/>
      <c r="N210" s="380"/>
      <c r="P210" s="379"/>
      <c r="Q210" s="381"/>
      <c r="R210" s="386"/>
      <c r="S210" s="375"/>
    </row>
    <row r="211" spans="2:19" hidden="1">
      <c r="B211" s="395">
        <v>2013</v>
      </c>
      <c r="C211" s="401">
        <v>162.31502461962987</v>
      </c>
      <c r="D211" s="401">
        <v>1068.5443558390928</v>
      </c>
      <c r="E211" s="401">
        <v>215.34798422824738</v>
      </c>
      <c r="F211" s="401">
        <v>157.32705532771323</v>
      </c>
      <c r="G211" s="401">
        <v>164.31229715703398</v>
      </c>
      <c r="H211" s="401">
        <v>685.0056852991064</v>
      </c>
      <c r="I211" s="401">
        <v>194.22001468317254</v>
      </c>
      <c r="J211" s="401">
        <v>1095.1372164628744</v>
      </c>
      <c r="K211" s="402"/>
      <c r="L211" s="401">
        <v>395.15987475000634</v>
      </c>
      <c r="M211" s="401">
        <v>329.75157880781501</v>
      </c>
      <c r="N211" s="403"/>
      <c r="O211" s="404">
        <v>1.1653673444563319</v>
      </c>
      <c r="P211" s="404">
        <v>2.272190548051618</v>
      </c>
      <c r="Q211" s="404">
        <v>3.3494448444068006</v>
      </c>
      <c r="R211" s="396">
        <v>2013</v>
      </c>
      <c r="S211" s="375"/>
    </row>
    <row r="212" spans="2:19" hidden="1">
      <c r="B212" s="385" t="s">
        <v>235</v>
      </c>
      <c r="C212" s="380">
        <v>109.85714285714286</v>
      </c>
      <c r="D212" s="380">
        <v>1057.6666666666667</v>
      </c>
      <c r="E212" s="380">
        <v>143.33333333333334</v>
      </c>
      <c r="F212" s="380">
        <v>114.76190476190476</v>
      </c>
      <c r="G212" s="380">
        <v>112.71428571428571</v>
      </c>
      <c r="H212" s="380">
        <v>728.28571428571433</v>
      </c>
      <c r="I212" s="380">
        <v>154.38095238095238</v>
      </c>
      <c r="J212" s="380">
        <v>753.66666666666663</v>
      </c>
      <c r="L212" s="380">
        <v>320.42857142857144</v>
      </c>
      <c r="M212" s="380">
        <v>260.19499999999999</v>
      </c>
      <c r="N212" s="380"/>
      <c r="O212" s="388">
        <v>0.79404545454545472</v>
      </c>
      <c r="P212" s="381">
        <v>1.883409090909091</v>
      </c>
      <c r="Q212" s="388">
        <v>3.0753181818181825</v>
      </c>
      <c r="R212" s="386" t="s">
        <v>236</v>
      </c>
      <c r="S212" s="375"/>
    </row>
    <row r="213" spans="2:19" hidden="1">
      <c r="B213" s="385" t="s">
        <v>212</v>
      </c>
      <c r="C213" s="380">
        <v>127.21052631578948</v>
      </c>
      <c r="D213" s="380">
        <v>1114.4736842105262</v>
      </c>
      <c r="E213" s="380">
        <v>161.52631578947367</v>
      </c>
      <c r="F213" s="380">
        <v>133.31578947368422</v>
      </c>
      <c r="G213" s="380">
        <v>131.47368421052633</v>
      </c>
      <c r="H213" s="380">
        <v>703.84210526315803</v>
      </c>
      <c r="I213" s="380">
        <v>170.31578947368422</v>
      </c>
      <c r="J213" s="380">
        <v>728.31578947368416</v>
      </c>
      <c r="L213" s="380">
        <v>330.26315789473682</v>
      </c>
      <c r="M213" s="380">
        <v>278.23436842105258</v>
      </c>
      <c r="N213" s="380"/>
      <c r="O213" s="388">
        <v>0.83610526315789468</v>
      </c>
      <c r="P213" s="381">
        <v>1.9640526315789473</v>
      </c>
      <c r="Q213" s="388">
        <v>3.1629999999999998</v>
      </c>
      <c r="R213" s="386" t="s">
        <v>244</v>
      </c>
      <c r="S213" s="375"/>
    </row>
    <row r="214" spans="2:19" hidden="1">
      <c r="B214" s="385" t="s">
        <v>213</v>
      </c>
      <c r="C214" s="380">
        <v>139.94999999999999</v>
      </c>
      <c r="D214" s="380">
        <v>1206.75</v>
      </c>
      <c r="E214" s="380">
        <v>179.6</v>
      </c>
      <c r="F214" s="380">
        <v>144.6</v>
      </c>
      <c r="G214" s="380">
        <v>141.55000000000001</v>
      </c>
      <c r="H214" s="380">
        <v>699.6</v>
      </c>
      <c r="I214" s="380">
        <v>177.2</v>
      </c>
      <c r="J214" s="380">
        <v>770.7</v>
      </c>
      <c r="L214" s="380">
        <v>345.6</v>
      </c>
      <c r="M214" s="380">
        <v>291.12185000000005</v>
      </c>
      <c r="N214" s="380"/>
      <c r="O214" s="388">
        <v>0.81014999999999981</v>
      </c>
      <c r="P214" s="381">
        <v>1.9447999999999996</v>
      </c>
      <c r="Q214" s="388">
        <v>3.1634000000000002</v>
      </c>
      <c r="R214" s="386" t="s">
        <v>237</v>
      </c>
      <c r="S214" s="375"/>
    </row>
    <row r="215" spans="2:19" hidden="1">
      <c r="B215" s="385" t="s">
        <v>214</v>
      </c>
      <c r="C215" s="380">
        <v>132.54545454545453</v>
      </c>
      <c r="D215" s="380">
        <v>1222.9545454545455</v>
      </c>
      <c r="E215" s="380">
        <v>177.13636363636363</v>
      </c>
      <c r="F215" s="380">
        <v>144.27272727272728</v>
      </c>
      <c r="G215" s="380">
        <v>131.95454545454547</v>
      </c>
      <c r="H215" s="380">
        <v>678.0454545454545</v>
      </c>
      <c r="I215" s="380">
        <v>168.54545454545453</v>
      </c>
      <c r="J215" s="380">
        <v>814.59090909090912</v>
      </c>
      <c r="L215" s="380">
        <v>347.04545454545456</v>
      </c>
      <c r="M215" s="380">
        <v>294.28340909090906</v>
      </c>
      <c r="N215" s="380"/>
      <c r="O215" s="388">
        <v>0.70445454545454544</v>
      </c>
      <c r="P215" s="381">
        <v>1.7323181818181821</v>
      </c>
      <c r="Q215" s="388">
        <v>2.9297272727272725</v>
      </c>
      <c r="R215" s="386" t="s">
        <v>215</v>
      </c>
      <c r="S215" s="375"/>
    </row>
    <row r="216" spans="2:19" hidden="1">
      <c r="B216" s="385" t="s">
        <v>216</v>
      </c>
      <c r="C216" s="380">
        <v>133.04545454545453</v>
      </c>
      <c r="D216" s="380">
        <v>1174.1818181818182</v>
      </c>
      <c r="E216" s="380">
        <v>178.27272727272728</v>
      </c>
      <c r="F216" s="380">
        <v>137.31818181818181</v>
      </c>
      <c r="G216" s="380">
        <v>134.81818181818181</v>
      </c>
      <c r="H216" s="380">
        <v>637.63636363636363</v>
      </c>
      <c r="I216" s="380">
        <v>168.22727272727272</v>
      </c>
      <c r="J216" s="380">
        <v>827.68181818181813</v>
      </c>
      <c r="L216" s="380">
        <v>346.95454545454544</v>
      </c>
      <c r="M216" s="380">
        <v>285.29190909090909</v>
      </c>
      <c r="N216" s="380"/>
      <c r="O216" s="388">
        <v>0.83473913043478254</v>
      </c>
      <c r="P216" s="381">
        <v>1.9203043478260866</v>
      </c>
      <c r="Q216" s="388">
        <v>3.1129565217391302</v>
      </c>
      <c r="R216" s="386" t="s">
        <v>216</v>
      </c>
      <c r="S216" s="375"/>
    </row>
    <row r="217" spans="2:19" hidden="1">
      <c r="B217" s="385" t="s">
        <v>217</v>
      </c>
      <c r="C217" s="380">
        <v>179.8</v>
      </c>
      <c r="D217" s="380">
        <v>1203.8499999999999</v>
      </c>
      <c r="E217" s="380">
        <v>234.3</v>
      </c>
      <c r="F217" s="380">
        <v>177.05</v>
      </c>
      <c r="G217" s="380">
        <v>180</v>
      </c>
      <c r="H217" s="380">
        <v>643.04999999999995</v>
      </c>
      <c r="I217" s="380">
        <v>212.65</v>
      </c>
      <c r="J217" s="380">
        <v>993.55</v>
      </c>
      <c r="L217" s="380">
        <v>414.35</v>
      </c>
      <c r="M217" s="380">
        <v>345.25040000000001</v>
      </c>
      <c r="N217" s="380"/>
      <c r="O217" s="388">
        <v>1.1949000000000001</v>
      </c>
      <c r="P217" s="381">
        <v>2.29135</v>
      </c>
      <c r="Q217" s="388">
        <v>3.4035999999999995</v>
      </c>
      <c r="R217" s="386" t="s">
        <v>217</v>
      </c>
      <c r="S217" s="375"/>
    </row>
    <row r="218" spans="2:19" hidden="1">
      <c r="B218" s="385" t="s">
        <v>218</v>
      </c>
      <c r="C218" s="380">
        <v>175</v>
      </c>
      <c r="D218" s="380">
        <v>1137.9545454545455</v>
      </c>
      <c r="E218" s="380">
        <v>232.40909090909091</v>
      </c>
      <c r="F218" s="380">
        <v>169.22727272727272</v>
      </c>
      <c r="G218" s="380">
        <v>168.90909090909091</v>
      </c>
      <c r="H218" s="380">
        <v>643.77272727272725</v>
      </c>
      <c r="I218" s="380">
        <v>201.04545454545453</v>
      </c>
      <c r="J218" s="380">
        <v>967.31818181818187</v>
      </c>
      <c r="L218" s="380">
        <v>404.40909090909093</v>
      </c>
      <c r="M218" s="380">
        <v>337.69631818181819</v>
      </c>
      <c r="N218" s="380"/>
      <c r="O218" s="388">
        <v>1.3926086956521739</v>
      </c>
      <c r="P218" s="381">
        <v>2.5576086956521737</v>
      </c>
      <c r="Q218" s="388">
        <v>3.6007826086956527</v>
      </c>
      <c r="R218" s="386" t="s">
        <v>218</v>
      </c>
      <c r="S218" s="375"/>
    </row>
    <row r="219" spans="2:19" hidden="1">
      <c r="B219" s="385" t="s">
        <v>247</v>
      </c>
      <c r="C219" s="380">
        <v>190.54545454545453</v>
      </c>
      <c r="D219" s="380">
        <v>1067.5454545454545</v>
      </c>
      <c r="E219" s="380">
        <v>243.22727272727272</v>
      </c>
      <c r="F219" s="380">
        <v>171.22727272727272</v>
      </c>
      <c r="G219" s="380">
        <v>182.95454545454547</v>
      </c>
      <c r="H219" s="380">
        <v>630.90909090909088</v>
      </c>
      <c r="I219" s="380">
        <v>206.09090909090909</v>
      </c>
      <c r="J219" s="380">
        <v>955.59090909090912</v>
      </c>
      <c r="L219" s="380">
        <v>408.40909090909093</v>
      </c>
      <c r="M219" s="380">
        <v>351.43904545454546</v>
      </c>
      <c r="N219" s="380"/>
      <c r="O219" s="388">
        <v>1.5073636363636367</v>
      </c>
      <c r="P219" s="381">
        <v>2.7317272727272721</v>
      </c>
      <c r="Q219" s="388">
        <v>3.7586363636363642</v>
      </c>
      <c r="R219" s="386" t="s">
        <v>247</v>
      </c>
      <c r="S219" s="375"/>
    </row>
    <row r="220" spans="2:19" hidden="1">
      <c r="B220" s="385" t="s">
        <v>221</v>
      </c>
      <c r="C220" s="380">
        <v>182.2</v>
      </c>
      <c r="D220" s="380">
        <v>1063.5999999999999</v>
      </c>
      <c r="E220" s="380">
        <v>234.3</v>
      </c>
      <c r="F220" s="380">
        <v>173</v>
      </c>
      <c r="G220" s="380">
        <v>180.55</v>
      </c>
      <c r="H220" s="380">
        <v>645.75</v>
      </c>
      <c r="I220" s="380">
        <v>202.25</v>
      </c>
      <c r="J220" s="380">
        <v>956</v>
      </c>
      <c r="L220" s="380">
        <v>403.6</v>
      </c>
      <c r="M220" s="380">
        <v>350.21310000000005</v>
      </c>
      <c r="N220" s="380"/>
      <c r="O220" s="388">
        <v>1.5894285714285714</v>
      </c>
      <c r="P220" s="381">
        <v>2.801047619047619</v>
      </c>
      <c r="Q220" s="388">
        <v>3.784904761904762</v>
      </c>
      <c r="R220" s="386" t="s">
        <v>222</v>
      </c>
      <c r="S220" s="375"/>
    </row>
    <row r="221" spans="2:19" hidden="1">
      <c r="B221" s="385" t="s">
        <v>223</v>
      </c>
      <c r="C221" s="380">
        <v>173.18181818181819</v>
      </c>
      <c r="D221" s="380">
        <v>927.5</v>
      </c>
      <c r="E221" s="380">
        <v>226.68181818181819</v>
      </c>
      <c r="F221" s="380">
        <v>162.31818181818181</v>
      </c>
      <c r="G221" s="380">
        <v>171.54545454545453</v>
      </c>
      <c r="H221" s="380">
        <v>567.9545454545455</v>
      </c>
      <c r="I221" s="380">
        <v>200.04545454545453</v>
      </c>
      <c r="J221" s="380">
        <v>1035.9545454545455</v>
      </c>
      <c r="K221" s="379"/>
      <c r="L221" s="380">
        <v>401.13636363636363</v>
      </c>
      <c r="M221" s="380">
        <v>337.77504545454536</v>
      </c>
      <c r="N221" s="380"/>
      <c r="O221" s="388">
        <v>1.3595652173913042</v>
      </c>
      <c r="P221" s="381">
        <v>2.6014782608695652</v>
      </c>
      <c r="Q221" s="388">
        <v>3.6788695652173908</v>
      </c>
      <c r="R221" s="386" t="s">
        <v>223</v>
      </c>
      <c r="S221" s="375"/>
    </row>
    <row r="222" spans="2:19" hidden="1">
      <c r="B222" s="385" t="s">
        <v>224</v>
      </c>
      <c r="C222" s="380">
        <v>182.44444444444446</v>
      </c>
      <c r="D222" s="380">
        <v>823.05555555555554</v>
      </c>
      <c r="E222" s="380">
        <v>246.38888888888889</v>
      </c>
      <c r="F222" s="380">
        <v>163.83333333333334</v>
      </c>
      <c r="G222" s="380">
        <v>182.27777777777777</v>
      </c>
      <c r="H222" s="380">
        <v>530.22222222222217</v>
      </c>
      <c r="I222" s="380">
        <v>208.88888888888889</v>
      </c>
      <c r="J222" s="380">
        <v>1157.2777777777778</v>
      </c>
      <c r="K222" s="379"/>
      <c r="L222" s="380">
        <v>417.72222222222223</v>
      </c>
      <c r="M222" s="380">
        <v>347.94049999999999</v>
      </c>
      <c r="N222" s="380"/>
      <c r="O222" s="388">
        <v>1.3600476190476187</v>
      </c>
      <c r="P222" s="381">
        <v>2.708190476190476</v>
      </c>
      <c r="Q222" s="388">
        <v>3.802142857142857</v>
      </c>
      <c r="R222" s="386" t="s">
        <v>224</v>
      </c>
      <c r="S222" s="375"/>
    </row>
    <row r="223" spans="2:19" hidden="1">
      <c r="B223" s="385" t="s">
        <v>209</v>
      </c>
      <c r="C223" s="380">
        <v>222</v>
      </c>
      <c r="D223" s="380">
        <v>823</v>
      </c>
      <c r="E223" s="380">
        <v>327</v>
      </c>
      <c r="F223" s="380">
        <v>197</v>
      </c>
      <c r="G223" s="380">
        <v>253</v>
      </c>
      <c r="H223" s="380">
        <v>1111</v>
      </c>
      <c r="I223" s="380">
        <v>261</v>
      </c>
      <c r="J223" s="380">
        <v>3181</v>
      </c>
      <c r="K223" s="379"/>
      <c r="L223" s="380">
        <v>602</v>
      </c>
      <c r="M223" s="380">
        <v>477.57799999999997</v>
      </c>
      <c r="N223" s="380"/>
      <c r="O223" s="388">
        <v>1.601</v>
      </c>
      <c r="P223" s="381">
        <v>2.13</v>
      </c>
      <c r="Q223" s="388">
        <v>2.7199999999999998</v>
      </c>
      <c r="R223" s="386" t="s">
        <v>226</v>
      </c>
      <c r="S223" s="375"/>
    </row>
    <row r="224" spans="2:19" hidden="1">
      <c r="B224" s="385"/>
      <c r="C224" s="380"/>
      <c r="D224" s="380"/>
      <c r="E224" s="380"/>
      <c r="F224" s="380"/>
      <c r="G224" s="380"/>
      <c r="H224" s="380"/>
      <c r="I224" s="380"/>
      <c r="J224" s="380"/>
      <c r="K224" s="379"/>
      <c r="L224" s="380"/>
      <c r="M224" s="380"/>
      <c r="N224" s="380"/>
      <c r="O224" s="388"/>
      <c r="P224" s="381"/>
      <c r="Q224" s="388"/>
      <c r="R224" s="386"/>
      <c r="S224" s="375"/>
    </row>
    <row r="225" spans="2:19">
      <c r="B225" s="395">
        <v>2014</v>
      </c>
      <c r="C225" s="401">
        <v>162.20837103997692</v>
      </c>
      <c r="D225" s="401">
        <v>786.85611346334508</v>
      </c>
      <c r="E225" s="401">
        <v>234.82665420720681</v>
      </c>
      <c r="F225" s="401">
        <v>142.685981743089</v>
      </c>
      <c r="G225" s="401">
        <v>167.22197391195576</v>
      </c>
      <c r="H225" s="401">
        <v>510.3439065869743</v>
      </c>
      <c r="I225" s="401">
        <v>182.66924421803949</v>
      </c>
      <c r="J225" s="401">
        <v>1336.2863001347826</v>
      </c>
      <c r="K225" s="401"/>
      <c r="L225" s="401">
        <v>406.8953691628513</v>
      </c>
      <c r="M225" s="401">
        <v>330.17041744189873</v>
      </c>
      <c r="N225" s="401"/>
      <c r="O225" s="404">
        <v>1.6299907977288413</v>
      </c>
      <c r="P225" s="404">
        <v>2.5329531534286969</v>
      </c>
      <c r="Q225" s="404">
        <v>3.3425230323420543</v>
      </c>
      <c r="R225" s="395">
        <v>2014</v>
      </c>
      <c r="S225" s="375"/>
    </row>
    <row r="226" spans="2:19">
      <c r="B226" s="385" t="s">
        <v>210</v>
      </c>
      <c r="C226" s="380">
        <v>177.04761904761904</v>
      </c>
      <c r="D226" s="380">
        <v>931.57142857142856</v>
      </c>
      <c r="E226" s="380">
        <v>256.38095238095241</v>
      </c>
      <c r="F226" s="380">
        <v>155.1904761904762</v>
      </c>
      <c r="G226" s="380">
        <v>183.38095238095238</v>
      </c>
      <c r="H226" s="380">
        <v>570.76190476190482</v>
      </c>
      <c r="I226" s="380">
        <v>197.38095238095238</v>
      </c>
      <c r="J226" s="380">
        <v>1236.2380952380952</v>
      </c>
      <c r="K226" s="379"/>
      <c r="L226" s="380">
        <v>424.8095238095238</v>
      </c>
      <c r="M226" s="380">
        <v>347.47838095238092</v>
      </c>
      <c r="N226" s="380"/>
      <c r="O226" s="388">
        <v>1.6356521739130441</v>
      </c>
      <c r="P226" s="381">
        <v>2.848260869565217</v>
      </c>
      <c r="Q226" s="388">
        <v>3.8004000000000007</v>
      </c>
      <c r="R226" s="386" t="s">
        <v>211</v>
      </c>
      <c r="S226" s="375"/>
    </row>
    <row r="227" spans="2:19">
      <c r="B227" s="385" t="s">
        <v>212</v>
      </c>
      <c r="C227" s="380">
        <v>182.52631578947367</v>
      </c>
      <c r="D227" s="380">
        <v>970.84210526315792</v>
      </c>
      <c r="E227" s="380">
        <v>257.73684210526318</v>
      </c>
      <c r="F227" s="380">
        <v>159.26315789473685</v>
      </c>
      <c r="G227" s="380">
        <v>188.52631578947367</v>
      </c>
      <c r="H227" s="380">
        <v>609.63157894736844</v>
      </c>
      <c r="I227" s="380">
        <v>196.26315789473685</v>
      </c>
      <c r="J227" s="380">
        <v>1387.1052631578948</v>
      </c>
      <c r="K227" s="379"/>
      <c r="L227" s="380">
        <v>456.36842105263156</v>
      </c>
      <c r="M227" s="380">
        <v>367.74705263157898</v>
      </c>
      <c r="N227" s="380"/>
      <c r="O227" s="388">
        <v>1.5047499999999998</v>
      </c>
      <c r="P227" s="381">
        <v>2.6983000000000001</v>
      </c>
      <c r="Q227" s="388">
        <v>3.6613999999999995</v>
      </c>
      <c r="R227" s="386" t="s">
        <v>244</v>
      </c>
      <c r="S227" s="375"/>
    </row>
    <row r="228" spans="2:19">
      <c r="B228" s="385" t="s">
        <v>213</v>
      </c>
      <c r="C228" s="380">
        <v>167.23809523809524</v>
      </c>
      <c r="D228" s="380">
        <v>879.95238095238096</v>
      </c>
      <c r="E228" s="380">
        <v>238.66666666666666</v>
      </c>
      <c r="F228" s="380">
        <v>149.14285714285714</v>
      </c>
      <c r="G228" s="380">
        <v>176.76190476190476</v>
      </c>
      <c r="H228" s="380">
        <v>549.04761904761904</v>
      </c>
      <c r="I228" s="380">
        <v>187.66666666666666</v>
      </c>
      <c r="J228" s="380">
        <v>1199.9047619047619</v>
      </c>
      <c r="K228" s="379"/>
      <c r="L228" s="380">
        <v>407.57142857142856</v>
      </c>
      <c r="M228" s="380">
        <v>341.08214285714286</v>
      </c>
      <c r="N228" s="380"/>
      <c r="O228" s="388">
        <v>1.629142857142857</v>
      </c>
      <c r="P228" s="381">
        <v>2.718380952380953</v>
      </c>
      <c r="Q228" s="388">
        <v>3.6227619047619051</v>
      </c>
      <c r="R228" s="386" t="s">
        <v>213</v>
      </c>
      <c r="S228" s="375"/>
    </row>
    <row r="229" spans="2:19">
      <c r="B229" s="385" t="s">
        <v>214</v>
      </c>
      <c r="C229" s="380">
        <v>153.8095238095238</v>
      </c>
      <c r="D229" s="380">
        <v>787.66666666666663</v>
      </c>
      <c r="E229" s="380">
        <v>224.57142857142858</v>
      </c>
      <c r="F229" s="380">
        <v>138</v>
      </c>
      <c r="G229" s="380">
        <v>161.71428571428572</v>
      </c>
      <c r="H229" s="380">
        <v>454.71428571428572</v>
      </c>
      <c r="I229" s="380">
        <v>178.33333333333334</v>
      </c>
      <c r="J229" s="380">
        <v>1042.8571428571429</v>
      </c>
      <c r="K229" s="379"/>
      <c r="L229" s="380">
        <v>371.8095238095238</v>
      </c>
      <c r="M229" s="380">
        <v>315.91947619047613</v>
      </c>
      <c r="N229" s="380"/>
      <c r="O229" s="388">
        <v>1.6956818181818181</v>
      </c>
      <c r="P229" s="381">
        <v>2.6948636363636362</v>
      </c>
      <c r="Q229" s="388">
        <v>3.5185454545454546</v>
      </c>
      <c r="R229" s="386" t="s">
        <v>215</v>
      </c>
      <c r="S229" s="375"/>
    </row>
    <row r="230" spans="2:19">
      <c r="B230" s="385" t="s">
        <v>216</v>
      </c>
      <c r="C230" s="380">
        <v>149.23809523809524</v>
      </c>
      <c r="D230" s="380">
        <v>798</v>
      </c>
      <c r="E230" s="380">
        <v>214.47619047619048</v>
      </c>
      <c r="F230" s="380">
        <v>135.66666666666666</v>
      </c>
      <c r="G230" s="380">
        <v>153.8095238095238</v>
      </c>
      <c r="H230" s="380">
        <v>354.42857142857144</v>
      </c>
      <c r="I230" s="380">
        <v>171.85714285714286</v>
      </c>
      <c r="J230" s="380">
        <v>1039.5714285714287</v>
      </c>
      <c r="K230" s="379"/>
      <c r="L230" s="380">
        <v>364.90476190476193</v>
      </c>
      <c r="M230" s="380">
        <v>303.5786190476191</v>
      </c>
      <c r="N230" s="380"/>
      <c r="O230" s="388">
        <v>1.5799545454545454</v>
      </c>
      <c r="P230" s="381">
        <v>2.5530454545454551</v>
      </c>
      <c r="Q230" s="388">
        <v>3.3897727272727267</v>
      </c>
      <c r="R230" s="386" t="s">
        <v>216</v>
      </c>
      <c r="S230" s="375"/>
    </row>
    <row r="231" spans="2:19">
      <c r="B231" s="385" t="s">
        <v>217</v>
      </c>
      <c r="C231" s="380">
        <v>145.42857142857142</v>
      </c>
      <c r="D231" s="380">
        <v>763</v>
      </c>
      <c r="E231" s="380">
        <v>208.95238095238096</v>
      </c>
      <c r="F231" s="380">
        <v>122.33333333333333</v>
      </c>
      <c r="G231" s="380">
        <v>144.23809523809524</v>
      </c>
      <c r="H231" s="380">
        <v>370.28571428571428</v>
      </c>
      <c r="I231" s="380">
        <v>160.38095238095238</v>
      </c>
      <c r="J231" s="380">
        <v>953.71428571428567</v>
      </c>
      <c r="K231" s="379"/>
      <c r="L231" s="380">
        <v>343.23809523809524</v>
      </c>
      <c r="M231" s="380">
        <v>281.72557142857141</v>
      </c>
      <c r="N231" s="380"/>
      <c r="O231" s="388">
        <v>1.6684761904761909</v>
      </c>
      <c r="P231" s="381">
        <v>2.5911428571428567</v>
      </c>
      <c r="Q231" s="388">
        <v>3.4186666666666667</v>
      </c>
      <c r="R231" s="386" t="s">
        <v>217</v>
      </c>
      <c r="S231" s="375"/>
    </row>
    <row r="232" spans="2:19">
      <c r="B232" s="385" t="s">
        <v>218</v>
      </c>
      <c r="C232" s="380">
        <v>146.81818181818181</v>
      </c>
      <c r="D232" s="380">
        <v>651.36363636363637</v>
      </c>
      <c r="E232" s="380">
        <v>212.40909090909091</v>
      </c>
      <c r="F232" s="380">
        <v>124.40909090909091</v>
      </c>
      <c r="G232" s="380">
        <v>145.68181818181819</v>
      </c>
      <c r="H232" s="380">
        <v>424.95454545454544</v>
      </c>
      <c r="I232" s="380">
        <v>163.36363636363637</v>
      </c>
      <c r="J232" s="380">
        <v>921.36363636363637</v>
      </c>
      <c r="K232" s="379"/>
      <c r="L232" s="380">
        <v>336.40909090909093</v>
      </c>
      <c r="M232" s="380">
        <v>282.17613636363637</v>
      </c>
      <c r="N232" s="380"/>
      <c r="O232" s="388">
        <v>1.6878260869565218</v>
      </c>
      <c r="P232" s="381">
        <v>2.5315217391304343</v>
      </c>
      <c r="Q232" s="388">
        <v>3.3365652173913047</v>
      </c>
      <c r="R232" s="386" t="s">
        <v>218</v>
      </c>
      <c r="S232" s="375"/>
    </row>
    <row r="233" spans="2:19">
      <c r="B233" s="385" t="s">
        <v>230</v>
      </c>
      <c r="C233" s="380">
        <v>157.28571428571399</v>
      </c>
      <c r="D233" s="380">
        <v>760.76190476190482</v>
      </c>
      <c r="E233" s="380">
        <v>221.38095238095238</v>
      </c>
      <c r="F233" s="380">
        <v>129.71428571428572</v>
      </c>
      <c r="G233" s="380">
        <v>153.57142857142858</v>
      </c>
      <c r="H233" s="380">
        <v>477.47619047619048</v>
      </c>
      <c r="I233" s="380">
        <v>168.857142857143</v>
      </c>
      <c r="J233" s="380">
        <v>1068.5238095238096</v>
      </c>
      <c r="K233" s="379"/>
      <c r="L233" s="380">
        <v>373</v>
      </c>
      <c r="M233" s="380">
        <v>309.99080952380956</v>
      </c>
      <c r="N233" s="380"/>
      <c r="O233" s="388">
        <v>1.6224761904761906</v>
      </c>
      <c r="P233" s="381">
        <v>2.4122380952381</v>
      </c>
      <c r="Q233" s="388">
        <v>3.2000476190476195</v>
      </c>
      <c r="R233" s="386" t="s">
        <v>220</v>
      </c>
      <c r="S233" s="375"/>
    </row>
    <row r="234" spans="2:19">
      <c r="B234" s="385" t="s">
        <v>221</v>
      </c>
      <c r="C234" s="380">
        <v>149.76190476190476</v>
      </c>
      <c r="D234" s="380">
        <v>718.71428571428567</v>
      </c>
      <c r="E234" s="380">
        <v>215.66666666666666</v>
      </c>
      <c r="F234" s="380">
        <v>126.19047619047619</v>
      </c>
      <c r="G234" s="380">
        <v>152.1904761904762</v>
      </c>
      <c r="H234" s="380">
        <v>426.71428571428572</v>
      </c>
      <c r="I234" s="380">
        <v>168.47619047619048</v>
      </c>
      <c r="J234" s="380">
        <v>1296.6190476190477</v>
      </c>
      <c r="K234" s="379"/>
      <c r="L234" s="380">
        <v>391.23809523809524</v>
      </c>
      <c r="M234" s="380">
        <v>312.35371428571432</v>
      </c>
      <c r="N234" s="380"/>
      <c r="O234" s="388">
        <v>1.7656666666666663</v>
      </c>
      <c r="P234" s="381">
        <v>2.5267619047619045</v>
      </c>
      <c r="Q234" s="388">
        <v>3.2580000000000005</v>
      </c>
      <c r="R234" s="386" t="s">
        <v>222</v>
      </c>
      <c r="S234" s="375"/>
    </row>
    <row r="235" spans="2:19">
      <c r="B235" s="385" t="s">
        <v>248</v>
      </c>
      <c r="C235" s="380">
        <v>170.2608695652174</v>
      </c>
      <c r="D235" s="380">
        <v>759.82608695652175</v>
      </c>
      <c r="E235" s="380">
        <v>244.30434782608697</v>
      </c>
      <c r="F235" s="380">
        <v>149.86956521739131</v>
      </c>
      <c r="G235" s="380">
        <v>174.17391304347825</v>
      </c>
      <c r="H235" s="380">
        <v>519.82608695652175</v>
      </c>
      <c r="I235" s="380">
        <v>189.82608695652175</v>
      </c>
      <c r="J235" s="380">
        <v>1604.0434782608695</v>
      </c>
      <c r="K235" s="379"/>
      <c r="L235" s="380">
        <v>442.6521739130435</v>
      </c>
      <c r="M235" s="380">
        <v>348.4186086956521</v>
      </c>
      <c r="N235" s="380"/>
      <c r="O235" s="388">
        <v>1.522913043478261</v>
      </c>
      <c r="P235" s="381">
        <v>2.2986086956521734</v>
      </c>
      <c r="Q235" s="388">
        <v>3.0321304347826077</v>
      </c>
      <c r="R235" s="386" t="s">
        <v>248</v>
      </c>
      <c r="S235" s="375"/>
    </row>
    <row r="236" spans="2:19">
      <c r="B236" s="385" t="s">
        <v>249</v>
      </c>
      <c r="C236" s="380">
        <v>165.1764705882353</v>
      </c>
      <c r="D236" s="380">
        <v>673.52941176470586</v>
      </c>
      <c r="E236" s="380">
        <v>251.64705882352942</v>
      </c>
      <c r="F236" s="380">
        <v>150.58823529411765</v>
      </c>
      <c r="G236" s="380">
        <v>172.70588235294119</v>
      </c>
      <c r="H236" s="380">
        <v>549.05882352941171</v>
      </c>
      <c r="I236" s="380">
        <v>192.35294117647058</v>
      </c>
      <c r="J236" s="380">
        <v>1820.1764705882354</v>
      </c>
      <c r="K236" s="379"/>
      <c r="L236" s="380">
        <v>454.47058823529414</v>
      </c>
      <c r="M236" s="380">
        <v>349.43858823529405</v>
      </c>
      <c r="N236" s="380"/>
      <c r="O236" s="388">
        <v>1.60985</v>
      </c>
      <c r="P236" s="381">
        <v>2.3174500000000005</v>
      </c>
      <c r="Q236" s="388">
        <v>3.0373500000000004</v>
      </c>
      <c r="R236" s="386" t="s">
        <v>249</v>
      </c>
      <c r="S236" s="375"/>
    </row>
    <row r="237" spans="2:19">
      <c r="B237" s="385" t="s">
        <v>250</v>
      </c>
      <c r="C237" s="380">
        <v>181.90909090909091</v>
      </c>
      <c r="D237" s="380">
        <v>747.0454545454545</v>
      </c>
      <c r="E237" s="380">
        <v>271.72727272727275</v>
      </c>
      <c r="F237" s="380">
        <v>171.86363636363637</v>
      </c>
      <c r="G237" s="380">
        <v>199.90909090909091</v>
      </c>
      <c r="H237" s="380">
        <v>817.22727272727275</v>
      </c>
      <c r="I237" s="380">
        <v>217.27272727272728</v>
      </c>
      <c r="J237" s="380">
        <v>2465.318181818182</v>
      </c>
      <c r="K237" s="379"/>
      <c r="L237" s="380">
        <v>516.27272727272725</v>
      </c>
      <c r="M237" s="380">
        <v>402.13590909090908</v>
      </c>
      <c r="N237" s="380"/>
      <c r="O237" s="388">
        <v>1.6375</v>
      </c>
      <c r="P237" s="381">
        <v>2.2048636363636365</v>
      </c>
      <c r="Q237" s="388">
        <v>2.8346363636363638</v>
      </c>
      <c r="R237" s="386" t="s">
        <v>251</v>
      </c>
      <c r="S237" s="375"/>
    </row>
    <row r="238" spans="2:19">
      <c r="B238" s="385"/>
      <c r="C238" s="380"/>
      <c r="D238" s="380"/>
      <c r="E238" s="380"/>
      <c r="F238" s="380"/>
      <c r="G238" s="380"/>
      <c r="H238" s="380"/>
      <c r="I238" s="380"/>
      <c r="J238" s="380"/>
      <c r="K238" s="379"/>
      <c r="L238" s="380"/>
      <c r="M238" s="380"/>
      <c r="N238" s="380"/>
      <c r="O238" s="388"/>
      <c r="P238" s="381"/>
      <c r="Q238" s="388"/>
      <c r="R238" s="386"/>
      <c r="S238" s="375"/>
    </row>
    <row r="239" spans="2:19">
      <c r="B239" s="405">
        <v>2015</v>
      </c>
      <c r="C239" s="401">
        <v>200.71119655198603</v>
      </c>
      <c r="D239" s="401">
        <v>589.75824219640015</v>
      </c>
      <c r="E239" s="401">
        <v>360.64934970000758</v>
      </c>
      <c r="F239" s="401">
        <v>185.5784185843396</v>
      </c>
      <c r="G239" s="401">
        <v>249.67959576972737</v>
      </c>
      <c r="H239" s="401">
        <v>995.06431229589134</v>
      </c>
      <c r="I239" s="401">
        <v>251.05642515379361</v>
      </c>
      <c r="J239" s="401">
        <v>2775.1223332953596</v>
      </c>
      <c r="K239" s="401"/>
      <c r="L239" s="401">
        <v>541.09125655046716</v>
      </c>
      <c r="M239" s="401">
        <v>415.35194870319742</v>
      </c>
      <c r="N239" s="401"/>
      <c r="O239" s="404">
        <v>1.5286716897233201</v>
      </c>
      <c r="P239" s="404">
        <v>2.1352402126858649</v>
      </c>
      <c r="Q239" s="404">
        <v>2.8395136912604308</v>
      </c>
      <c r="R239" s="405">
        <v>2015</v>
      </c>
      <c r="S239" s="375"/>
    </row>
    <row r="240" spans="2:19">
      <c r="B240" s="406" t="s">
        <v>235</v>
      </c>
      <c r="C240" s="380">
        <v>201.8</v>
      </c>
      <c r="D240" s="380">
        <v>732.2</v>
      </c>
      <c r="E240" s="380">
        <v>299.8</v>
      </c>
      <c r="F240" s="380">
        <v>186.3</v>
      </c>
      <c r="G240" s="380">
        <v>230.55</v>
      </c>
      <c r="H240" s="380">
        <v>942.8</v>
      </c>
      <c r="I240" s="380">
        <v>241.95</v>
      </c>
      <c r="J240" s="380">
        <v>3087.6</v>
      </c>
      <c r="K240" s="379"/>
      <c r="L240" s="380">
        <v>561.25</v>
      </c>
      <c r="M240" s="380">
        <v>443.93689999999998</v>
      </c>
      <c r="N240" s="380"/>
      <c r="O240" s="388">
        <v>1.371818181818182</v>
      </c>
      <c r="P240" s="381">
        <v>1.8789545454545462</v>
      </c>
      <c r="Q240" s="388">
        <v>2.4645454545454544</v>
      </c>
      <c r="R240" s="386" t="s">
        <v>236</v>
      </c>
      <c r="S240" s="375"/>
    </row>
    <row r="241" spans="1:19">
      <c r="B241" s="406" t="s">
        <v>212</v>
      </c>
      <c r="C241" s="380">
        <v>182.84210526315789</v>
      </c>
      <c r="D241" s="380">
        <v>684.26315789473688</v>
      </c>
      <c r="E241" s="380">
        <v>315.31578947368422</v>
      </c>
      <c r="F241" s="380">
        <v>168.26315789473685</v>
      </c>
      <c r="G241" s="380">
        <v>207.78947368421052</v>
      </c>
      <c r="H241" s="380">
        <v>779.26315789473688</v>
      </c>
      <c r="I241" s="380">
        <v>226.68421052631578</v>
      </c>
      <c r="J241" s="380">
        <v>2776.3157894736842</v>
      </c>
      <c r="K241" s="379"/>
      <c r="L241" s="380">
        <v>539.4545454545455</v>
      </c>
      <c r="M241" s="380">
        <v>426.21518181818175</v>
      </c>
      <c r="N241" s="380"/>
      <c r="O241" s="388">
        <v>1.4707499999999998</v>
      </c>
      <c r="P241" s="381">
        <v>1.9775000000000003</v>
      </c>
      <c r="Q241" s="388">
        <v>2.5733000000000006</v>
      </c>
      <c r="R241" s="386" t="s">
        <v>244</v>
      </c>
      <c r="S241" s="375"/>
    </row>
    <row r="242" spans="1:19">
      <c r="B242" s="406" t="s">
        <v>213</v>
      </c>
      <c r="C242" s="380">
        <v>184.45454545454547</v>
      </c>
      <c r="D242" s="380">
        <v>593.13636363636363</v>
      </c>
      <c r="E242" s="380">
        <v>339.13636363636363</v>
      </c>
      <c r="F242" s="380">
        <v>156.09090909090909</v>
      </c>
      <c r="G242" s="380">
        <v>221.86363636363637</v>
      </c>
      <c r="H242" s="380">
        <v>800.81818181818187</v>
      </c>
      <c r="I242" s="380">
        <v>233.81818181818181</v>
      </c>
      <c r="J242" s="380">
        <v>2864.9545454545455</v>
      </c>
      <c r="K242" s="379"/>
      <c r="L242" s="380">
        <v>521.31818181818187</v>
      </c>
      <c r="M242" s="380">
        <v>411.28386363636366</v>
      </c>
      <c r="N242" s="380"/>
      <c r="O242" s="388">
        <v>1.5136363636363639</v>
      </c>
      <c r="P242" s="381">
        <v>2.0374545454545459</v>
      </c>
      <c r="Q242" s="388">
        <v>2.6265000000000005</v>
      </c>
      <c r="R242" s="386" t="s">
        <v>213</v>
      </c>
      <c r="S242" s="375"/>
    </row>
    <row r="243" spans="1:19">
      <c r="B243" s="406" t="s">
        <v>214</v>
      </c>
      <c r="C243" s="380">
        <v>176.95454545454547</v>
      </c>
      <c r="D243" s="380">
        <v>604.36363636363637</v>
      </c>
      <c r="E243" s="380">
        <v>298.5</v>
      </c>
      <c r="F243" s="380">
        <v>152.63636363636363</v>
      </c>
      <c r="G243" s="380">
        <v>215.72727272727272</v>
      </c>
      <c r="H243" s="380">
        <v>779.5454545454545</v>
      </c>
      <c r="I243" s="380">
        <v>224.59090909090909</v>
      </c>
      <c r="J243" s="380">
        <v>2474.590909090909</v>
      </c>
      <c r="K243" s="379"/>
      <c r="L243" s="380">
        <v>487.86363636363637</v>
      </c>
      <c r="M243" s="380">
        <v>387.55509090909078</v>
      </c>
      <c r="N243" s="380"/>
      <c r="O243" s="388">
        <v>1.3470454545454547</v>
      </c>
      <c r="P243" s="381">
        <v>1.923909090909091</v>
      </c>
      <c r="Q243" s="388">
        <v>2.5863181818181826</v>
      </c>
      <c r="R243" s="386" t="s">
        <v>215</v>
      </c>
      <c r="S243" s="375"/>
    </row>
    <row r="244" spans="1:19">
      <c r="B244" s="406" t="s">
        <v>216</v>
      </c>
      <c r="C244" s="380">
        <v>165.9</v>
      </c>
      <c r="D244" s="380">
        <v>596.20000000000005</v>
      </c>
      <c r="E244" s="380">
        <v>284.75</v>
      </c>
      <c r="F244" s="380">
        <v>143.05000000000001</v>
      </c>
      <c r="G244" s="380">
        <v>209</v>
      </c>
      <c r="H244" s="380">
        <v>666.5</v>
      </c>
      <c r="I244" s="380">
        <v>217.25</v>
      </c>
      <c r="J244" s="380">
        <v>2255.85</v>
      </c>
      <c r="K244" s="379"/>
      <c r="L244" s="380">
        <v>470.45</v>
      </c>
      <c r="M244" s="380">
        <v>368.83080000000007</v>
      </c>
      <c r="N244" s="380"/>
      <c r="O244" s="388">
        <v>1.5368095238095236</v>
      </c>
      <c r="P244" s="381">
        <v>2.1966190476190479</v>
      </c>
      <c r="Q244" s="388">
        <v>2.9618095238095239</v>
      </c>
      <c r="R244" s="386" t="s">
        <v>216</v>
      </c>
      <c r="S244" s="375"/>
    </row>
    <row r="245" spans="1:19">
      <c r="B245" s="406" t="s">
        <v>217</v>
      </c>
      <c r="C245" s="380">
        <v>176.5</v>
      </c>
      <c r="D245" s="380">
        <v>593.22727272727275</v>
      </c>
      <c r="E245" s="380">
        <v>295.81818181818181</v>
      </c>
      <c r="F245" s="380">
        <v>150.81818181818181</v>
      </c>
      <c r="G245" s="380">
        <v>224.86363636363637</v>
      </c>
      <c r="H245" s="380">
        <v>775.36363636363637</v>
      </c>
      <c r="I245" s="380">
        <v>230.40909090909091</v>
      </c>
      <c r="J245" s="380">
        <v>2611.818181818182</v>
      </c>
      <c r="K245" s="379"/>
      <c r="L245" s="380">
        <v>503.5</v>
      </c>
      <c r="M245" s="380">
        <v>384.50272727272727</v>
      </c>
      <c r="N245" s="380"/>
      <c r="O245" s="388">
        <v>1.6771818181818181</v>
      </c>
      <c r="P245" s="381">
        <v>2.3588181818181821</v>
      </c>
      <c r="Q245" s="388">
        <v>3.1113636363636372</v>
      </c>
      <c r="R245" s="386" t="s">
        <v>227</v>
      </c>
      <c r="S245" s="375"/>
    </row>
    <row r="246" spans="1:19">
      <c r="B246" s="406" t="s">
        <v>218</v>
      </c>
      <c r="C246" s="380">
        <v>187.31818181818181</v>
      </c>
      <c r="D246" s="380">
        <v>603.09090909090912</v>
      </c>
      <c r="E246" s="380">
        <v>321.5</v>
      </c>
      <c r="F246" s="380">
        <v>167.77272727272728</v>
      </c>
      <c r="G246" s="380">
        <v>242.86363636363637</v>
      </c>
      <c r="H246" s="380">
        <v>908.72727272727275</v>
      </c>
      <c r="I246" s="380">
        <v>237.72727272727272</v>
      </c>
      <c r="J246" s="380">
        <v>2889.409090909091</v>
      </c>
      <c r="K246" s="379"/>
      <c r="L246" s="380">
        <v>527.22727272727275</v>
      </c>
      <c r="M246" s="380">
        <v>397.28286363636357</v>
      </c>
      <c r="N246" s="380"/>
      <c r="O246" s="388">
        <v>1.6226956521739131</v>
      </c>
      <c r="P246" s="381">
        <v>2.317217391304347</v>
      </c>
      <c r="Q246" s="388">
        <v>3.0703043478260867</v>
      </c>
      <c r="R246" s="386" t="s">
        <v>218</v>
      </c>
      <c r="S246" s="375"/>
    </row>
    <row r="247" spans="1:19">
      <c r="B247" s="406" t="s">
        <v>219</v>
      </c>
      <c r="C247" s="380">
        <v>217.47619047619048</v>
      </c>
      <c r="D247" s="380">
        <v>589.95238095238096</v>
      </c>
      <c r="E247" s="380">
        <v>353.1904761904762</v>
      </c>
      <c r="F247" s="380">
        <v>194.1904761904762</v>
      </c>
      <c r="G247" s="380">
        <v>275.71428571428572</v>
      </c>
      <c r="H247" s="380">
        <v>1167.047619047619</v>
      </c>
      <c r="I247" s="380">
        <v>260.95238095238096</v>
      </c>
      <c r="J247" s="380">
        <v>3190.6666666666665</v>
      </c>
      <c r="K247" s="379"/>
      <c r="L247" s="380">
        <v>567.14285714285711</v>
      </c>
      <c r="M247" s="380">
        <v>431.16080952380952</v>
      </c>
      <c r="N247" s="380"/>
      <c r="O247" s="388">
        <v>1.5315238095238095</v>
      </c>
      <c r="P247" s="381">
        <v>2.1604761904761909</v>
      </c>
      <c r="Q247" s="388">
        <v>2.8512380952380947</v>
      </c>
      <c r="R247" s="386" t="s">
        <v>252</v>
      </c>
      <c r="S247" s="375"/>
    </row>
    <row r="248" spans="1:19">
      <c r="B248" s="406" t="s">
        <v>221</v>
      </c>
      <c r="C248" s="380">
        <v>234.04761904761904</v>
      </c>
      <c r="D248" s="380">
        <v>561.42857142857144</v>
      </c>
      <c r="E248" s="380">
        <v>438.95238095238096</v>
      </c>
      <c r="F248" s="380">
        <v>216</v>
      </c>
      <c r="G248" s="380">
        <v>290.71428571428572</v>
      </c>
      <c r="H248" s="380">
        <v>1344.5238095238096</v>
      </c>
      <c r="I248" s="380">
        <v>276.04761904761904</v>
      </c>
      <c r="J248" s="380">
        <v>2970.0476190476193</v>
      </c>
      <c r="K248" s="379"/>
      <c r="L248" s="380">
        <v>585.66666666666663</v>
      </c>
      <c r="M248" s="380">
        <v>442.01971428571426</v>
      </c>
      <c r="N248" s="380"/>
      <c r="O248" s="388">
        <v>1.4833636363636364</v>
      </c>
      <c r="P248" s="381">
        <v>2.1637727272727272</v>
      </c>
      <c r="Q248" s="388">
        <v>2.9475454545454549</v>
      </c>
      <c r="R248" s="386" t="s">
        <v>222</v>
      </c>
      <c r="S248" s="375"/>
    </row>
    <row r="249" spans="1:19">
      <c r="B249" s="406" t="s">
        <v>223</v>
      </c>
      <c r="C249" s="380">
        <v>226.0952380952381</v>
      </c>
      <c r="D249" s="380">
        <v>555.04761904761904</v>
      </c>
      <c r="E249" s="380">
        <v>448.23809523809524</v>
      </c>
      <c r="F249" s="380">
        <v>221.28571428571428</v>
      </c>
      <c r="G249" s="380">
        <v>283.09523809523807</v>
      </c>
      <c r="H249" s="380">
        <v>1330.3333333333333</v>
      </c>
      <c r="I249" s="380">
        <v>278.28571428571428</v>
      </c>
      <c r="J249" s="380">
        <v>2850.5238095238096</v>
      </c>
      <c r="K249" s="379"/>
      <c r="L249" s="380">
        <v>581.61904761904759</v>
      </c>
      <c r="M249" s="380">
        <v>437.22742857142856</v>
      </c>
      <c r="N249" s="380"/>
      <c r="O249" s="388">
        <v>1.4290909090909094</v>
      </c>
      <c r="P249" s="381">
        <v>2.1123181818181815</v>
      </c>
      <c r="Q249" s="388">
        <v>2.8852727272727274</v>
      </c>
      <c r="R249" s="386" t="s">
        <v>223</v>
      </c>
      <c r="S249" s="375"/>
    </row>
    <row r="250" spans="1:19">
      <c r="A250" s="369" t="s">
        <v>44</v>
      </c>
      <c r="B250" s="406" t="s">
        <v>224</v>
      </c>
      <c r="C250" s="380">
        <v>218.73684210526315</v>
      </c>
      <c r="D250" s="380">
        <v>486.05263157894734</v>
      </c>
      <c r="E250" s="380">
        <v>421</v>
      </c>
      <c r="F250" s="380">
        <v>220.57894736842104</v>
      </c>
      <c r="G250" s="380">
        <v>280.4736842105263</v>
      </c>
      <c r="H250" s="380">
        <v>1212.8947368421052</v>
      </c>
      <c r="I250" s="380">
        <v>274.05263157894734</v>
      </c>
      <c r="J250" s="380">
        <v>2598.7368421052633</v>
      </c>
      <c r="K250" s="379"/>
      <c r="L250" s="380">
        <v>553.42105263157896</v>
      </c>
      <c r="M250" s="380">
        <v>412.31536842105265</v>
      </c>
      <c r="N250" s="380"/>
      <c r="O250" s="388">
        <v>1.6676666666666671</v>
      </c>
      <c r="P250" s="381">
        <v>2.2601904761904756</v>
      </c>
      <c r="Q250" s="388">
        <v>3.0306190476190471</v>
      </c>
      <c r="R250" s="386" t="s">
        <v>224</v>
      </c>
      <c r="S250" s="375"/>
    </row>
    <row r="251" spans="1:19" s="370" customFormat="1">
      <c r="B251" s="1163" t="s">
        <v>209</v>
      </c>
      <c r="C251" s="1164">
        <v>236.40909090909091</v>
      </c>
      <c r="D251" s="1164">
        <v>478.13636363636363</v>
      </c>
      <c r="E251" s="1164">
        <v>511.59090909090907</v>
      </c>
      <c r="F251" s="1164">
        <v>249.95454545454547</v>
      </c>
      <c r="G251" s="1164">
        <v>313.5</v>
      </c>
      <c r="H251" s="1164">
        <v>1232.9545454545455</v>
      </c>
      <c r="I251" s="1164">
        <v>310.90909090909093</v>
      </c>
      <c r="J251" s="1164">
        <v>2730.9545454545455</v>
      </c>
      <c r="K251" s="1165"/>
      <c r="L251" s="1164">
        <v>594.18181818181813</v>
      </c>
      <c r="M251" s="1164">
        <v>441.89263636363631</v>
      </c>
      <c r="N251" s="1164"/>
      <c r="O251" s="1166">
        <v>1.6924782608695652</v>
      </c>
      <c r="P251" s="1167">
        <v>2.2356521739130431</v>
      </c>
      <c r="Q251" s="407">
        <v>2.9653478260869566</v>
      </c>
      <c r="R251" s="1168" t="s">
        <v>226</v>
      </c>
      <c r="S251" s="1169"/>
    </row>
    <row r="252" spans="1:19">
      <c r="B252" s="406"/>
      <c r="C252" s="380"/>
      <c r="D252" s="380"/>
      <c r="E252" s="380"/>
      <c r="F252" s="380"/>
      <c r="G252" s="380"/>
      <c r="H252" s="380"/>
      <c r="I252" s="380"/>
      <c r="J252" s="380"/>
      <c r="K252" s="379"/>
      <c r="L252" s="380"/>
      <c r="M252" s="380"/>
      <c r="N252" s="380"/>
      <c r="O252" s="388"/>
      <c r="P252" s="381"/>
      <c r="Q252" s="388"/>
      <c r="R252" s="386"/>
      <c r="S252" s="375"/>
    </row>
    <row r="253" spans="1:19">
      <c r="B253" s="405">
        <v>2016</v>
      </c>
      <c r="C253" s="401">
        <v>275.51503759398497</v>
      </c>
      <c r="D253" s="401">
        <v>482.09022556390977</v>
      </c>
      <c r="E253" s="401">
        <v>549.19548872180451</v>
      </c>
      <c r="F253" s="401">
        <v>278.27067669172931</v>
      </c>
      <c r="G253" s="401">
        <v>386.09398496240601</v>
      </c>
      <c r="H253" s="401">
        <v>1564.1278195488721</v>
      </c>
      <c r="I253" s="401">
        <v>364.57142857142856</v>
      </c>
      <c r="J253" s="401" t="s">
        <v>253</v>
      </c>
      <c r="K253" s="401"/>
      <c r="L253" s="401">
        <v>676.98496240601503</v>
      </c>
      <c r="M253" s="401">
        <v>496.90221428571431</v>
      </c>
      <c r="N253" s="401"/>
      <c r="O253" s="404">
        <v>1.3700714285714286</v>
      </c>
      <c r="P253" s="404">
        <v>1.9468333333333332</v>
      </c>
      <c r="Q253" s="404">
        <v>2.7518571428571432</v>
      </c>
      <c r="R253" s="405">
        <v>2016</v>
      </c>
      <c r="S253" s="375"/>
    </row>
    <row r="254" spans="1:19">
      <c r="B254" s="406" t="s">
        <v>210</v>
      </c>
      <c r="C254" s="380">
        <v>266.31578947368422</v>
      </c>
      <c r="D254" s="380">
        <v>485.89473684210526</v>
      </c>
      <c r="E254" s="380">
        <v>542.10526315789468</v>
      </c>
      <c r="F254" s="380">
        <v>272.68421052631578</v>
      </c>
      <c r="G254" s="380">
        <v>368.4736842105263</v>
      </c>
      <c r="H254" s="380">
        <v>1535.6842105263158</v>
      </c>
      <c r="I254" s="380">
        <v>353</v>
      </c>
      <c r="J254" s="380" t="s">
        <v>253</v>
      </c>
      <c r="K254" s="379"/>
      <c r="L254" s="380">
        <v>662.68421052631584</v>
      </c>
      <c r="M254" s="380">
        <v>486.1350000000001</v>
      </c>
      <c r="N254" s="380"/>
      <c r="O254" s="388">
        <v>1.4940000000000002</v>
      </c>
      <c r="P254" s="381">
        <v>2.0600952380952378</v>
      </c>
      <c r="Q254" s="388">
        <v>2.8460000000000001</v>
      </c>
      <c r="R254" s="386" t="s">
        <v>211</v>
      </c>
      <c r="S254" s="375"/>
    </row>
    <row r="255" spans="1:19" s="370" customFormat="1">
      <c r="B255" s="1529" t="s">
        <v>254</v>
      </c>
      <c r="C255" s="398">
        <v>284.71428571428572</v>
      </c>
      <c r="D255" s="398">
        <v>478.28571428571428</v>
      </c>
      <c r="E255" s="398">
        <v>556.28571428571433</v>
      </c>
      <c r="F255" s="398">
        <v>283.85714285714283</v>
      </c>
      <c r="G255" s="398">
        <v>403.71428571428572</v>
      </c>
      <c r="H255" s="398">
        <v>1592.5714285714287</v>
      </c>
      <c r="I255" s="398">
        <v>376.14285714285717</v>
      </c>
      <c r="J255" s="398" t="s">
        <v>253</v>
      </c>
      <c r="K255" s="1530"/>
      <c r="L255" s="398">
        <v>691.28571428571433</v>
      </c>
      <c r="M255" s="398">
        <v>507.66942857142851</v>
      </c>
      <c r="N255" s="398"/>
      <c r="O255" s="1531">
        <v>1.246142857142857</v>
      </c>
      <c r="P255" s="399">
        <v>1.8335714285714286</v>
      </c>
      <c r="Q255" s="1531">
        <v>2.6577142857142859</v>
      </c>
      <c r="R255" s="1532" t="s">
        <v>254</v>
      </c>
      <c r="S255" s="1169"/>
    </row>
    <row r="256" spans="1:19">
      <c r="B256" s="385"/>
      <c r="C256" s="380"/>
      <c r="D256" s="380"/>
      <c r="E256" s="380"/>
      <c r="F256" s="380"/>
      <c r="G256" s="380"/>
      <c r="H256" s="380"/>
      <c r="I256" s="380"/>
      <c r="J256" s="380"/>
      <c r="K256" s="379"/>
      <c r="L256" s="380"/>
      <c r="M256" s="380"/>
      <c r="N256" s="380"/>
      <c r="O256" s="388"/>
      <c r="P256" s="381"/>
      <c r="Q256" s="388"/>
      <c r="R256" s="386"/>
      <c r="S256" s="375"/>
    </row>
    <row r="257" spans="2:18">
      <c r="B257" s="376" t="s">
        <v>255</v>
      </c>
      <c r="C257" s="380"/>
      <c r="D257" s="380"/>
      <c r="E257" s="380"/>
      <c r="F257" s="380"/>
      <c r="G257" s="380"/>
      <c r="H257" s="380"/>
      <c r="I257" s="380"/>
      <c r="J257" s="380"/>
      <c r="K257" s="380"/>
      <c r="L257" s="380"/>
      <c r="M257" s="380"/>
      <c r="N257" s="380"/>
      <c r="O257" s="381"/>
      <c r="P257" s="381"/>
      <c r="Q257" s="381"/>
      <c r="R257" s="387" t="s">
        <v>256</v>
      </c>
    </row>
    <row r="258" spans="2:18">
      <c r="B258" s="376" t="s">
        <v>257</v>
      </c>
      <c r="C258" s="381">
        <v>55.715930586396922</v>
      </c>
      <c r="D258" s="381">
        <v>-30.102080059775627</v>
      </c>
      <c r="E258" s="381">
        <v>76.421775520423509</v>
      </c>
      <c r="F258" s="381">
        <v>68.698333258858725</v>
      </c>
      <c r="G258" s="381">
        <v>94.290056448111173</v>
      </c>
      <c r="H258" s="381">
        <v>104.36888520098032</v>
      </c>
      <c r="I258" s="381">
        <v>65.93253507579027</v>
      </c>
      <c r="J258" s="381" t="s">
        <v>253</v>
      </c>
      <c r="K258" s="381"/>
      <c r="L258" s="381">
        <v>28.145312725696957</v>
      </c>
      <c r="M258" s="381">
        <v>19.111061789439997</v>
      </c>
      <c r="N258" s="381"/>
      <c r="O258" s="381">
        <v>-15.271605837643577</v>
      </c>
      <c r="P258" s="381">
        <v>-7.2783095539100673</v>
      </c>
      <c r="Q258" s="381">
        <v>3.2803903825548986</v>
      </c>
      <c r="R258" s="387" t="s">
        <v>258</v>
      </c>
    </row>
    <row r="259" spans="2:18">
      <c r="B259" s="376" t="s">
        <v>259</v>
      </c>
      <c r="C259" s="381">
        <v>20.4328837860851</v>
      </c>
      <c r="D259" s="381">
        <v>3.1235994730627326E-2</v>
      </c>
      <c r="E259" s="381">
        <v>8.7364346004950235</v>
      </c>
      <c r="F259" s="381">
        <v>13.563505052866741</v>
      </c>
      <c r="G259" s="381">
        <v>28.776486671223523</v>
      </c>
      <c r="H259" s="381">
        <v>29.167083607636602</v>
      </c>
      <c r="I259" s="381">
        <v>20.981620718462814</v>
      </c>
      <c r="J259" s="381" t="s">
        <v>253</v>
      </c>
      <c r="K259" s="381"/>
      <c r="L259" s="381">
        <v>16.342454974645925</v>
      </c>
      <c r="M259" s="381">
        <v>14.885242883672767</v>
      </c>
      <c r="N259" s="381"/>
      <c r="O259" s="381">
        <v>-26.371706747795333</v>
      </c>
      <c r="P259" s="381">
        <v>-17.984941934766884</v>
      </c>
      <c r="Q259" s="381">
        <v>-10.374281818353193</v>
      </c>
      <c r="R259" s="408" t="s">
        <v>260</v>
      </c>
    </row>
    <row r="260" spans="2:18">
      <c r="B260" s="409" t="s">
        <v>261</v>
      </c>
      <c r="C260" s="410">
        <v>6.9085262563523431</v>
      </c>
      <c r="D260" s="410">
        <v>-1.5659816786333214</v>
      </c>
      <c r="E260" s="410">
        <v>2.6158113730929466</v>
      </c>
      <c r="F260" s="410">
        <v>4.0973888107646017</v>
      </c>
      <c r="G260" s="410">
        <v>9.5639398453282176</v>
      </c>
      <c r="H260" s="410">
        <v>3.7043565112658383</v>
      </c>
      <c r="I260" s="410">
        <v>6.5560501821125161</v>
      </c>
      <c r="J260" s="410" t="s">
        <v>253</v>
      </c>
      <c r="K260" s="381"/>
      <c r="L260" s="410">
        <v>4.3160080329487149</v>
      </c>
      <c r="M260" s="410">
        <v>4.4297219026460555</v>
      </c>
      <c r="N260" s="381"/>
      <c r="O260" s="410">
        <v>-16.590170204628063</v>
      </c>
      <c r="P260" s="410">
        <v>-10.995793074753813</v>
      </c>
      <c r="Q260" s="410">
        <v>-6.6158016263427317</v>
      </c>
      <c r="R260" s="411" t="s">
        <v>262</v>
      </c>
    </row>
    <row r="261" spans="2:18">
      <c r="B261" s="375"/>
      <c r="C261" s="375"/>
      <c r="D261" s="375"/>
      <c r="E261" s="375"/>
      <c r="F261" s="375"/>
      <c r="G261" s="375"/>
      <c r="H261" s="375"/>
      <c r="I261" s="375"/>
      <c r="J261" s="375"/>
      <c r="K261" s="375"/>
      <c r="L261" s="412"/>
      <c r="M261" s="412"/>
      <c r="N261" s="412"/>
      <c r="O261" s="412"/>
      <c r="P261" s="412"/>
      <c r="Q261" s="412"/>
      <c r="R261" s="375"/>
    </row>
    <row r="262" spans="2:18">
      <c r="B262" s="413" t="s">
        <v>263</v>
      </c>
      <c r="K262" s="375"/>
    </row>
    <row r="263" spans="2:18">
      <c r="B263" s="369" t="s">
        <v>264</v>
      </c>
    </row>
    <row r="264" spans="2:18">
      <c r="B264" s="369" t="s">
        <v>265</v>
      </c>
    </row>
    <row r="265" spans="2:18">
      <c r="B265" s="369" t="s">
        <v>266</v>
      </c>
    </row>
    <row r="266" spans="2:18">
      <c r="B266" s="369" t="s">
        <v>267</v>
      </c>
    </row>
    <row r="267" spans="2:18">
      <c r="B267" s="369" t="s">
        <v>268</v>
      </c>
    </row>
    <row r="268" spans="2:18" hidden="1">
      <c r="B268" s="369" t="s">
        <v>269</v>
      </c>
    </row>
    <row r="269" spans="2:18" hidden="1">
      <c r="B269" s="369" t="s">
        <v>270</v>
      </c>
    </row>
    <row r="271" spans="2:18">
      <c r="B271" s="402" t="s">
        <v>1715</v>
      </c>
    </row>
    <row r="272" spans="2:18">
      <c r="B272" s="402" t="s">
        <v>1716</v>
      </c>
    </row>
  </sheetData>
  <mergeCells count="9">
    <mergeCell ref="R6:R10"/>
    <mergeCell ref="O7:O10"/>
    <mergeCell ref="P7:P10"/>
    <mergeCell ref="Q7:Q10"/>
    <mergeCell ref="B6:B10"/>
    <mergeCell ref="C6:J7"/>
    <mergeCell ref="L6:L10"/>
    <mergeCell ref="M6:M10"/>
    <mergeCell ref="O6:Q6"/>
  </mergeCells>
  <printOptions horizontalCentered="1" verticalCentered="1"/>
  <pageMargins left="0.39370078740157483" right="0.39370078740157483" top="0.39370078740157483" bottom="0.19685039370078741" header="0" footer="0"/>
  <pageSetup paperSize="9" scale="62" orientation="landscape" horizontalDpi="4294967294" verticalDpi="4294967294"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L204"/>
  <sheetViews>
    <sheetView showGridLines="0" zoomScale="80" zoomScaleNormal="80" zoomScaleSheetLayoutView="90" workbookViewId="0">
      <pane ySplit="7" topLeftCell="A104" activePane="bottomLeft" state="frozen"/>
      <selection activeCell="J118" sqref="J118"/>
      <selection pane="bottomLeft" activeCell="F112" sqref="F112"/>
    </sheetView>
  </sheetViews>
  <sheetFormatPr baseColWidth="10" defaultRowHeight="14.25"/>
  <cols>
    <col min="1" max="1" width="35.85546875" style="1542" customWidth="1"/>
    <col min="2" max="2" width="25.85546875" style="1542" customWidth="1"/>
    <col min="3" max="9" width="14.28515625" style="1542" customWidth="1"/>
    <col min="10" max="16384" width="11.42578125" style="1542"/>
  </cols>
  <sheetData>
    <row r="1" spans="1:12" ht="15">
      <c r="A1" s="1541" t="s">
        <v>528</v>
      </c>
      <c r="B1" s="1541"/>
      <c r="C1" s="1541"/>
      <c r="D1" s="1541"/>
      <c r="E1" s="1541"/>
      <c r="F1" s="1541"/>
      <c r="G1" s="1541"/>
      <c r="H1" s="1541"/>
      <c r="I1" s="1541"/>
      <c r="J1" s="1541"/>
      <c r="K1" s="1541"/>
      <c r="L1" s="1541"/>
    </row>
    <row r="2" spans="1:12" ht="15">
      <c r="A2" s="1543"/>
      <c r="B2" s="1544"/>
      <c r="C2" s="1543"/>
      <c r="D2" s="1543"/>
      <c r="E2" s="1543"/>
      <c r="F2" s="1543"/>
      <c r="G2" s="1543"/>
      <c r="H2" s="1543"/>
      <c r="I2" s="1543"/>
      <c r="J2" s="1543"/>
      <c r="K2" s="1543"/>
      <c r="L2" s="1543"/>
    </row>
    <row r="3" spans="1:12">
      <c r="A3" s="1542" t="s">
        <v>527</v>
      </c>
      <c r="E3" s="1545">
        <v>6.25E-2</v>
      </c>
      <c r="F3" s="1546" t="s">
        <v>523</v>
      </c>
    </row>
    <row r="4" spans="1:12">
      <c r="A4" s="1542" t="s">
        <v>526</v>
      </c>
      <c r="E4" s="1547" t="s">
        <v>525</v>
      </c>
      <c r="F4" s="1548"/>
      <c r="G4" s="1548"/>
    </row>
    <row r="5" spans="1:12">
      <c r="A5" s="1542" t="s">
        <v>524</v>
      </c>
      <c r="E5" s="1549">
        <f>'[2]Relative Equity Volatility'!B4</f>
        <v>1.3933424913630135</v>
      </c>
      <c r="F5" s="1550" t="s">
        <v>523</v>
      </c>
      <c r="G5" s="1548"/>
    </row>
    <row r="6" spans="1:12">
      <c r="F6" s="1551"/>
      <c r="G6" s="1551"/>
      <c r="H6" s="1551"/>
      <c r="I6" s="1551"/>
    </row>
    <row r="7" spans="1:12" s="1555" customFormat="1" ht="57">
      <c r="A7" s="1552" t="s">
        <v>18</v>
      </c>
      <c r="B7" s="1553" t="str">
        <f>VLOOKUP(A7,'[2]Regional lookup table'!$A$3:$B$149,2)</f>
        <v>Africa</v>
      </c>
      <c r="C7" s="1553" t="str">
        <f>'[2]Sovereign Ratings (Moody''s,S&amp;P)'!C1</f>
        <v>Moody's rating</v>
      </c>
      <c r="D7" s="1552" t="s">
        <v>522</v>
      </c>
      <c r="E7" s="1552" t="s">
        <v>520</v>
      </c>
      <c r="F7" s="1552" t="s">
        <v>519</v>
      </c>
      <c r="G7" s="1552" t="s">
        <v>521</v>
      </c>
      <c r="H7" s="1552" t="s">
        <v>520</v>
      </c>
      <c r="I7" s="1552" t="s">
        <v>519</v>
      </c>
      <c r="J7" s="1554" t="s">
        <v>518</v>
      </c>
    </row>
    <row r="8" spans="1:12">
      <c r="A8" s="1556" t="s">
        <v>529</v>
      </c>
      <c r="B8" s="1556" t="s">
        <v>530</v>
      </c>
      <c r="C8" s="1557" t="s">
        <v>483</v>
      </c>
      <c r="D8" s="1558">
        <v>5.4999999999999997E-3</v>
      </c>
      <c r="E8" s="1559">
        <v>7.0163383702496571E-2</v>
      </c>
      <c r="F8" s="1560">
        <v>7.6633837024965732E-3</v>
      </c>
      <c r="G8" s="1560">
        <v>8.199999999999999E-3</v>
      </c>
      <c r="H8" s="1560">
        <v>7.3925408429176706E-2</v>
      </c>
      <c r="I8" s="1560">
        <v>1.142540842917671E-2</v>
      </c>
      <c r="J8" s="1561" t="s">
        <v>394</v>
      </c>
      <c r="K8" s="1561" t="s">
        <v>488</v>
      </c>
    </row>
    <row r="9" spans="1:12">
      <c r="A9" s="1556" t="s">
        <v>531</v>
      </c>
      <c r="B9" s="1556" t="s">
        <v>532</v>
      </c>
      <c r="C9" s="1557" t="s">
        <v>480</v>
      </c>
      <c r="D9" s="1558">
        <v>4.99E-2</v>
      </c>
      <c r="E9" s="1559">
        <v>0.13202779031901438</v>
      </c>
      <c r="F9" s="1560">
        <v>6.9527790319014376E-2</v>
      </c>
      <c r="G9" s="1560" t="s">
        <v>466</v>
      </c>
      <c r="H9" s="1560" t="s">
        <v>466</v>
      </c>
      <c r="I9" s="1560" t="s">
        <v>466</v>
      </c>
      <c r="J9" s="1557" t="s">
        <v>487</v>
      </c>
      <c r="K9" s="1562">
        <v>78</v>
      </c>
    </row>
    <row r="10" spans="1:12">
      <c r="A10" s="1556" t="s">
        <v>533</v>
      </c>
      <c r="B10" s="1556" t="s">
        <v>534</v>
      </c>
      <c r="C10" s="1557" t="s">
        <v>472</v>
      </c>
      <c r="D10" s="1558">
        <v>2.4400000000000002E-2</v>
      </c>
      <c r="E10" s="1559">
        <v>9.6497556789257533E-2</v>
      </c>
      <c r="F10" s="1560">
        <v>3.3997556789257533E-2</v>
      </c>
      <c r="G10" s="1560" t="s">
        <v>466</v>
      </c>
      <c r="H10" s="1560" t="s">
        <v>466</v>
      </c>
      <c r="I10" s="1560" t="s">
        <v>466</v>
      </c>
      <c r="J10" s="1557" t="s">
        <v>486</v>
      </c>
      <c r="K10" s="1562">
        <v>94</v>
      </c>
    </row>
    <row r="11" spans="1:12">
      <c r="A11" s="1556" t="s">
        <v>535</v>
      </c>
      <c r="B11" s="1556" t="s">
        <v>536</v>
      </c>
      <c r="C11" s="1557" t="s">
        <v>476</v>
      </c>
      <c r="D11" s="1558">
        <v>3.3300000000000003E-2</v>
      </c>
      <c r="E11" s="1559">
        <v>0.10889830496238835</v>
      </c>
      <c r="F11" s="1560">
        <v>4.6398304962388351E-2</v>
      </c>
      <c r="G11" s="1560" t="s">
        <v>466</v>
      </c>
      <c r="H11" s="1560" t="s">
        <v>466</v>
      </c>
      <c r="I11" s="1560" t="s">
        <v>466</v>
      </c>
      <c r="J11" s="1557" t="s">
        <v>485</v>
      </c>
      <c r="K11" s="1562">
        <v>133</v>
      </c>
    </row>
    <row r="12" spans="1:12">
      <c r="A12" s="1556" t="s">
        <v>202</v>
      </c>
      <c r="B12" s="1556" t="s">
        <v>537</v>
      </c>
      <c r="C12" s="1557" t="s">
        <v>470</v>
      </c>
      <c r="D12" s="1558">
        <v>8.3099999999999993E-2</v>
      </c>
      <c r="E12" s="1559">
        <v>0.17828676103226643</v>
      </c>
      <c r="F12" s="1560">
        <v>0.11578676103226641</v>
      </c>
      <c r="G12" s="1560" t="s">
        <v>466</v>
      </c>
      <c r="H12" s="1560" t="s">
        <v>466</v>
      </c>
      <c r="I12" s="1560" t="s">
        <v>466</v>
      </c>
      <c r="J12" s="1557" t="s">
        <v>484</v>
      </c>
      <c r="K12" s="1562">
        <v>44</v>
      </c>
    </row>
    <row r="13" spans="1:12">
      <c r="A13" s="1556" t="s">
        <v>538</v>
      </c>
      <c r="B13" s="1556" t="s">
        <v>532</v>
      </c>
      <c r="C13" s="1557" t="s">
        <v>475</v>
      </c>
      <c r="D13" s="1558">
        <v>3.9899999999999998E-2</v>
      </c>
      <c r="E13" s="1559">
        <v>0.11809436540538423</v>
      </c>
      <c r="F13" s="1560">
        <v>5.5594365405384233E-2</v>
      </c>
      <c r="G13" s="1560" t="s">
        <v>466</v>
      </c>
      <c r="H13" s="1560" t="s">
        <v>466</v>
      </c>
      <c r="I13" s="1560" t="s">
        <v>466</v>
      </c>
      <c r="J13" s="1557" t="s">
        <v>483</v>
      </c>
      <c r="K13" s="1562">
        <v>55</v>
      </c>
    </row>
    <row r="14" spans="1:12">
      <c r="A14" s="1556" t="s">
        <v>539</v>
      </c>
      <c r="B14" s="1556" t="s">
        <v>540</v>
      </c>
      <c r="C14" s="1557" t="s">
        <v>474</v>
      </c>
      <c r="D14" s="1558">
        <v>1.77E-2</v>
      </c>
      <c r="E14" s="1559">
        <v>8.7162162097125337E-2</v>
      </c>
      <c r="F14" s="1560">
        <v>2.466216209712534E-2</v>
      </c>
      <c r="G14" s="1560" t="s">
        <v>466</v>
      </c>
      <c r="H14" s="1560" t="s">
        <v>466</v>
      </c>
      <c r="I14" s="1560" t="s">
        <v>466</v>
      </c>
      <c r="J14" s="1557" t="s">
        <v>482</v>
      </c>
      <c r="K14" s="1562">
        <v>67</v>
      </c>
    </row>
    <row r="15" spans="1:12">
      <c r="A15" s="1556" t="s">
        <v>541</v>
      </c>
      <c r="B15" s="1556" t="s">
        <v>542</v>
      </c>
      <c r="C15" s="1557" t="s">
        <v>481</v>
      </c>
      <c r="D15" s="1558">
        <v>0</v>
      </c>
      <c r="E15" s="1559">
        <v>6.25E-2</v>
      </c>
      <c r="F15" s="1560">
        <v>0</v>
      </c>
      <c r="G15" s="1560">
        <v>3.4000000000000002E-3</v>
      </c>
      <c r="H15" s="1560">
        <v>6.7237364470634248E-2</v>
      </c>
      <c r="I15" s="1560">
        <v>4.737364470634246E-3</v>
      </c>
      <c r="J15" s="1557" t="s">
        <v>481</v>
      </c>
      <c r="K15" s="1562">
        <v>0</v>
      </c>
    </row>
    <row r="16" spans="1:12">
      <c r="A16" s="1556" t="s">
        <v>543</v>
      </c>
      <c r="B16" s="1556" t="s">
        <v>534</v>
      </c>
      <c r="C16" s="1557" t="s">
        <v>481</v>
      </c>
      <c r="D16" s="1558">
        <v>0</v>
      </c>
      <c r="E16" s="1559">
        <v>6.25E-2</v>
      </c>
      <c r="F16" s="1560">
        <v>0</v>
      </c>
      <c r="G16" s="1560">
        <v>1.2000000000000005E-3</v>
      </c>
      <c r="H16" s="1560">
        <v>6.4172010989635611E-2</v>
      </c>
      <c r="I16" s="1560">
        <v>1.672010989635617E-3</v>
      </c>
      <c r="J16" s="1557" t="s">
        <v>480</v>
      </c>
      <c r="K16" s="1562">
        <v>499</v>
      </c>
    </row>
    <row r="17" spans="1:11">
      <c r="A17" s="1556" t="s">
        <v>544</v>
      </c>
      <c r="B17" s="1556" t="s">
        <v>532</v>
      </c>
      <c r="C17" s="1557" t="s">
        <v>472</v>
      </c>
      <c r="D17" s="1558">
        <v>2.4400000000000002E-2</v>
      </c>
      <c r="E17" s="1559">
        <v>9.6497556789257533E-2</v>
      </c>
      <c r="F17" s="1560">
        <v>3.3997556789257533E-2</v>
      </c>
      <c r="G17" s="1560" t="s">
        <v>466</v>
      </c>
      <c r="H17" s="1560" t="s">
        <v>466</v>
      </c>
      <c r="I17" s="1560" t="s">
        <v>466</v>
      </c>
      <c r="J17" s="1557" t="s">
        <v>479</v>
      </c>
      <c r="K17" s="1562">
        <v>610</v>
      </c>
    </row>
    <row r="18" spans="1:11">
      <c r="A18" s="1556" t="s">
        <v>545</v>
      </c>
      <c r="B18" s="1556" t="s">
        <v>540</v>
      </c>
      <c r="C18" s="1557" t="s">
        <v>473</v>
      </c>
      <c r="D18" s="1558">
        <v>2.1100000000000001E-2</v>
      </c>
      <c r="E18" s="1559">
        <v>9.1899526567759585E-2</v>
      </c>
      <c r="F18" s="1560">
        <v>2.9399526567759585E-2</v>
      </c>
      <c r="G18" s="1560" t="s">
        <v>466</v>
      </c>
      <c r="H18" s="1560" t="s">
        <v>466</v>
      </c>
      <c r="I18" s="1560" t="s">
        <v>466</v>
      </c>
      <c r="J18" s="1557" t="s">
        <v>478</v>
      </c>
      <c r="K18" s="1562">
        <v>721</v>
      </c>
    </row>
    <row r="19" spans="1:11">
      <c r="A19" s="1556" t="s">
        <v>546</v>
      </c>
      <c r="B19" s="1556" t="s">
        <v>530</v>
      </c>
      <c r="C19" s="1557" t="s">
        <v>472</v>
      </c>
      <c r="D19" s="1558">
        <v>2.4400000000000002E-2</v>
      </c>
      <c r="E19" s="1559">
        <v>9.6497556789257533E-2</v>
      </c>
      <c r="F19" s="1560">
        <v>3.3997556789257533E-2</v>
      </c>
      <c r="G19" s="1560">
        <v>3.5200000000000002E-2</v>
      </c>
      <c r="H19" s="1560">
        <v>0.11154565569597807</v>
      </c>
      <c r="I19" s="1560">
        <v>4.9045655695978074E-2</v>
      </c>
      <c r="J19" s="1557" t="s">
        <v>477</v>
      </c>
      <c r="K19" s="1562">
        <v>277</v>
      </c>
    </row>
    <row r="20" spans="1:11">
      <c r="A20" s="1556" t="s">
        <v>547</v>
      </c>
      <c r="B20" s="1556" t="s">
        <v>548</v>
      </c>
      <c r="C20" s="1557" t="s">
        <v>475</v>
      </c>
      <c r="D20" s="1558">
        <v>3.9899999999999998E-2</v>
      </c>
      <c r="E20" s="1559">
        <v>0.11809436540538423</v>
      </c>
      <c r="F20" s="1560">
        <v>5.5594365405384233E-2</v>
      </c>
      <c r="G20" s="1560" t="s">
        <v>466</v>
      </c>
      <c r="H20" s="1560" t="s">
        <v>466</v>
      </c>
      <c r="I20" s="1560" t="s">
        <v>466</v>
      </c>
      <c r="J20" s="1557" t="s">
        <v>476</v>
      </c>
      <c r="K20" s="1562">
        <v>333</v>
      </c>
    </row>
    <row r="21" spans="1:11">
      <c r="A21" s="1556" t="s">
        <v>549</v>
      </c>
      <c r="B21" s="1556" t="s">
        <v>540</v>
      </c>
      <c r="C21" s="1557" t="s">
        <v>478</v>
      </c>
      <c r="D21" s="1558">
        <v>7.2099999999999997E-2</v>
      </c>
      <c r="E21" s="1559">
        <v>0.16295999362727326</v>
      </c>
      <c r="F21" s="1560">
        <v>0.10045999362727327</v>
      </c>
      <c r="G21" s="1560" t="s">
        <v>466</v>
      </c>
      <c r="H21" s="1560" t="s">
        <v>466</v>
      </c>
      <c r="I21" s="1560" t="s">
        <v>466</v>
      </c>
      <c r="J21" s="1557" t="s">
        <v>475</v>
      </c>
      <c r="K21" s="1562">
        <v>399</v>
      </c>
    </row>
    <row r="22" spans="1:11">
      <c r="A22" s="1556" t="s">
        <v>550</v>
      </c>
      <c r="B22" s="1556" t="s">
        <v>532</v>
      </c>
      <c r="C22" s="1557" t="s">
        <v>470</v>
      </c>
      <c r="D22" s="1558">
        <v>8.3099999999999993E-2</v>
      </c>
      <c r="E22" s="1559">
        <v>0.17828676103226643</v>
      </c>
      <c r="F22" s="1560">
        <v>0.11578676103226641</v>
      </c>
      <c r="G22" s="1560" t="s">
        <v>466</v>
      </c>
      <c r="H22" s="1560" t="s">
        <v>466</v>
      </c>
      <c r="I22" s="1560" t="s">
        <v>466</v>
      </c>
      <c r="J22" s="1557" t="s">
        <v>474</v>
      </c>
      <c r="K22" s="1562">
        <v>177</v>
      </c>
    </row>
    <row r="23" spans="1:11">
      <c r="A23" s="1556" t="s">
        <v>551</v>
      </c>
      <c r="B23" s="1556" t="s">
        <v>534</v>
      </c>
      <c r="C23" s="1557" t="s">
        <v>482</v>
      </c>
      <c r="D23" s="1558">
        <v>6.7000000000000002E-3</v>
      </c>
      <c r="E23" s="1559">
        <v>7.1835394692132196E-2</v>
      </c>
      <c r="F23" s="1560">
        <v>9.3353946921321904E-3</v>
      </c>
      <c r="G23" s="1560">
        <v>3.2000000000000006E-3</v>
      </c>
      <c r="H23" s="1560">
        <v>6.6958695972361648E-2</v>
      </c>
      <c r="I23" s="1560">
        <v>4.4586959723616438E-3</v>
      </c>
      <c r="J23" s="1557" t="s">
        <v>473</v>
      </c>
      <c r="K23" s="1562">
        <v>211</v>
      </c>
    </row>
    <row r="24" spans="1:11">
      <c r="A24" s="1556" t="s">
        <v>552</v>
      </c>
      <c r="B24" s="1556" t="s">
        <v>537</v>
      </c>
      <c r="C24" s="1557" t="s">
        <v>469</v>
      </c>
      <c r="D24" s="1558">
        <v>9.98E-2</v>
      </c>
      <c r="E24" s="1559">
        <v>0.20155558063802875</v>
      </c>
      <c r="F24" s="1560">
        <v>0.13905558063802875</v>
      </c>
      <c r="G24" s="1560" t="s">
        <v>466</v>
      </c>
      <c r="H24" s="1560" t="s">
        <v>466</v>
      </c>
      <c r="I24" s="1560" t="s">
        <v>466</v>
      </c>
      <c r="J24" s="1557" t="s">
        <v>472</v>
      </c>
      <c r="K24" s="1562">
        <v>244</v>
      </c>
    </row>
    <row r="25" spans="1:11">
      <c r="A25" s="1556" t="s">
        <v>553</v>
      </c>
      <c r="B25" s="1556" t="s">
        <v>540</v>
      </c>
      <c r="C25" s="1557" t="s">
        <v>487</v>
      </c>
      <c r="D25" s="1558">
        <v>7.7999999999999996E-3</v>
      </c>
      <c r="E25" s="1559">
        <v>7.3368071432631507E-2</v>
      </c>
      <c r="F25" s="1560">
        <v>1.0868071432631505E-2</v>
      </c>
      <c r="G25" s="1560" t="s">
        <v>466</v>
      </c>
      <c r="H25" s="1560" t="s">
        <v>466</v>
      </c>
      <c r="I25" s="1560" t="s">
        <v>466</v>
      </c>
      <c r="J25" s="1563" t="s">
        <v>471</v>
      </c>
      <c r="K25" s="1562">
        <v>1330</v>
      </c>
    </row>
    <row r="26" spans="1:11">
      <c r="A26" s="1556" t="s">
        <v>554</v>
      </c>
      <c r="B26" s="1556" t="s">
        <v>537</v>
      </c>
      <c r="C26" s="1557" t="s">
        <v>475</v>
      </c>
      <c r="D26" s="1558">
        <v>3.9899999999999998E-2</v>
      </c>
      <c r="E26" s="1559">
        <v>0.11809436540538423</v>
      </c>
      <c r="F26" s="1560">
        <v>5.5594365405384233E-2</v>
      </c>
      <c r="G26" s="1560" t="s">
        <v>466</v>
      </c>
      <c r="H26" s="1560" t="s">
        <v>466</v>
      </c>
      <c r="I26" s="1560" t="s">
        <v>466</v>
      </c>
      <c r="J26" s="1563" t="s">
        <v>470</v>
      </c>
      <c r="K26" s="1562">
        <v>831</v>
      </c>
    </row>
    <row r="27" spans="1:11">
      <c r="A27" s="1556" t="s">
        <v>555</v>
      </c>
      <c r="B27" s="1556" t="s">
        <v>532</v>
      </c>
      <c r="C27" s="1557" t="s">
        <v>478</v>
      </c>
      <c r="D27" s="1558">
        <v>7.2099999999999997E-2</v>
      </c>
      <c r="E27" s="1559">
        <v>0.16295999362727326</v>
      </c>
      <c r="F27" s="1560">
        <v>0.10045999362727327</v>
      </c>
      <c r="G27" s="1560" t="s">
        <v>466</v>
      </c>
      <c r="H27" s="1560" t="s">
        <v>466</v>
      </c>
      <c r="I27" s="1560" t="s">
        <v>466</v>
      </c>
      <c r="J27" s="1563" t="s">
        <v>469</v>
      </c>
      <c r="K27" s="1562">
        <v>998</v>
      </c>
    </row>
    <row r="28" spans="1:11">
      <c r="A28" s="1556" t="s">
        <v>556</v>
      </c>
      <c r="B28" s="1556" t="s">
        <v>536</v>
      </c>
      <c r="C28" s="1557" t="s">
        <v>486</v>
      </c>
      <c r="D28" s="1558">
        <v>9.4000000000000004E-3</v>
      </c>
      <c r="E28" s="1559">
        <v>7.5597419418812331E-2</v>
      </c>
      <c r="F28" s="1560">
        <v>1.3097419418812328E-2</v>
      </c>
      <c r="G28" s="1560" t="s">
        <v>466</v>
      </c>
      <c r="H28" s="1560" t="s">
        <v>466</v>
      </c>
      <c r="I28" s="1560" t="s">
        <v>466</v>
      </c>
      <c r="J28" s="1563" t="s">
        <v>468</v>
      </c>
      <c r="K28" s="1562">
        <v>1108</v>
      </c>
    </row>
    <row r="29" spans="1:11">
      <c r="A29" s="1556" t="s">
        <v>557</v>
      </c>
      <c r="B29" s="1556" t="s">
        <v>537</v>
      </c>
      <c r="C29" s="1557" t="s">
        <v>472</v>
      </c>
      <c r="D29" s="1558">
        <v>2.4400000000000002E-2</v>
      </c>
      <c r="E29" s="1559">
        <v>9.6497556789257533E-2</v>
      </c>
      <c r="F29" s="1560">
        <v>3.3997556789257533E-2</v>
      </c>
      <c r="G29" s="1560">
        <v>5.1900000000000002E-2</v>
      </c>
      <c r="H29" s="1560">
        <v>0.1348144753017404</v>
      </c>
      <c r="I29" s="1560">
        <v>7.23144753017404E-2</v>
      </c>
      <c r="J29" s="1563" t="s">
        <v>467</v>
      </c>
      <c r="K29" s="1562" t="s">
        <v>466</v>
      </c>
    </row>
    <row r="30" spans="1:11">
      <c r="A30" s="1556" t="s">
        <v>558</v>
      </c>
      <c r="B30" s="1556" t="s">
        <v>532</v>
      </c>
      <c r="C30" s="1557" t="s">
        <v>473</v>
      </c>
      <c r="D30" s="1558">
        <v>2.1100000000000001E-2</v>
      </c>
      <c r="E30" s="1559">
        <v>9.1899526567759585E-2</v>
      </c>
      <c r="F30" s="1560">
        <v>2.9399526567759585E-2</v>
      </c>
      <c r="G30" s="1560">
        <v>1.8099999999999998E-2</v>
      </c>
      <c r="H30" s="1560">
        <v>8.7719499093670536E-2</v>
      </c>
      <c r="I30" s="1560">
        <v>2.5219499093670539E-2</v>
      </c>
    </row>
    <row r="31" spans="1:11">
      <c r="A31" s="1556" t="s">
        <v>559</v>
      </c>
      <c r="B31" s="1556" t="s">
        <v>536</v>
      </c>
      <c r="C31" s="1557" t="s">
        <v>478</v>
      </c>
      <c r="D31" s="1558">
        <v>7.2099999999999997E-2</v>
      </c>
      <c r="E31" s="1559">
        <v>0.16295999362727326</v>
      </c>
      <c r="F31" s="1560">
        <v>0.10045999362727327</v>
      </c>
      <c r="G31" s="1560" t="s">
        <v>466</v>
      </c>
      <c r="H31" s="1560" t="s">
        <v>466</v>
      </c>
      <c r="I31" s="1560" t="s">
        <v>466</v>
      </c>
    </row>
    <row r="32" spans="1:11">
      <c r="A32" s="1556" t="s">
        <v>560</v>
      </c>
      <c r="B32" s="1556" t="s">
        <v>548</v>
      </c>
      <c r="C32" s="1557" t="s">
        <v>479</v>
      </c>
      <c r="D32" s="1558">
        <v>6.0999999999999999E-2</v>
      </c>
      <c r="E32" s="1559">
        <v>0.14749389197314383</v>
      </c>
      <c r="F32" s="1560">
        <v>8.4993891973143817E-2</v>
      </c>
      <c r="G32" s="1560" t="s">
        <v>466</v>
      </c>
      <c r="H32" s="1560" t="s">
        <v>466</v>
      </c>
      <c r="I32" s="1560" t="s">
        <v>466</v>
      </c>
    </row>
    <row r="33" spans="1:9">
      <c r="A33" s="1556" t="s">
        <v>561</v>
      </c>
      <c r="B33" s="1556" t="s">
        <v>536</v>
      </c>
      <c r="C33" s="1557" t="s">
        <v>479</v>
      </c>
      <c r="D33" s="1558">
        <v>6.0999999999999999E-2</v>
      </c>
      <c r="E33" s="1559">
        <v>0.14749389197314383</v>
      </c>
      <c r="F33" s="1560">
        <v>8.4993891973143817E-2</v>
      </c>
      <c r="G33" s="1560" t="s">
        <v>466</v>
      </c>
      <c r="H33" s="1560" t="s">
        <v>466</v>
      </c>
      <c r="I33" s="1560" t="s">
        <v>466</v>
      </c>
    </row>
    <row r="34" spans="1:9">
      <c r="A34" s="1556" t="s">
        <v>562</v>
      </c>
      <c r="B34" s="1556" t="s">
        <v>563</v>
      </c>
      <c r="C34" s="1557" t="s">
        <v>481</v>
      </c>
      <c r="D34" s="1558">
        <v>0</v>
      </c>
      <c r="E34" s="1559">
        <v>6.25E-2</v>
      </c>
      <c r="F34" s="1560">
        <v>0</v>
      </c>
      <c r="G34" s="1560" t="s">
        <v>466</v>
      </c>
      <c r="H34" s="1560" t="s">
        <v>466</v>
      </c>
      <c r="I34" s="1560" t="s">
        <v>466</v>
      </c>
    </row>
    <row r="35" spans="1:9">
      <c r="A35" s="1556" t="s">
        <v>564</v>
      </c>
      <c r="B35" s="1556" t="s">
        <v>540</v>
      </c>
      <c r="C35" s="1557" t="s">
        <v>482</v>
      </c>
      <c r="D35" s="1558">
        <v>6.7000000000000002E-3</v>
      </c>
      <c r="E35" s="1559">
        <v>7.1835394692132196E-2</v>
      </c>
      <c r="F35" s="1560">
        <v>9.3353946921321904E-3</v>
      </c>
      <c r="G35" s="1560" t="s">
        <v>466</v>
      </c>
      <c r="H35" s="1560" t="s">
        <v>466</v>
      </c>
      <c r="I35" s="1560" t="s">
        <v>466</v>
      </c>
    </row>
    <row r="36" spans="1:9">
      <c r="A36" s="1556" t="s">
        <v>565</v>
      </c>
      <c r="B36" s="1556" t="s">
        <v>536</v>
      </c>
      <c r="C36" s="1557" t="s">
        <v>479</v>
      </c>
      <c r="D36" s="1558">
        <v>6.0999999999999999E-2</v>
      </c>
      <c r="E36" s="1559">
        <v>0.14749389197314383</v>
      </c>
      <c r="F36" s="1560">
        <v>8.4993891973143817E-2</v>
      </c>
      <c r="G36" s="1560" t="s">
        <v>466</v>
      </c>
      <c r="H36" s="1560" t="s">
        <v>466</v>
      </c>
      <c r="I36" s="1560" t="s">
        <v>466</v>
      </c>
    </row>
    <row r="37" spans="1:9">
      <c r="A37" s="1556" t="s">
        <v>204</v>
      </c>
      <c r="B37" s="1556" t="s">
        <v>537</v>
      </c>
      <c r="C37" s="1557" t="s">
        <v>482</v>
      </c>
      <c r="D37" s="1558">
        <v>6.7000000000000002E-3</v>
      </c>
      <c r="E37" s="1559">
        <v>7.1835394692132196E-2</v>
      </c>
      <c r="F37" s="1560">
        <v>9.3353946921321904E-3</v>
      </c>
      <c r="G37" s="1560">
        <v>1.2699999999999999E-2</v>
      </c>
      <c r="H37" s="1560">
        <v>8.0195449640310279E-2</v>
      </c>
      <c r="I37" s="1560">
        <v>1.7695449640310272E-2</v>
      </c>
    </row>
    <row r="38" spans="1:9">
      <c r="A38" s="1556" t="s">
        <v>566</v>
      </c>
      <c r="B38" s="1556" t="s">
        <v>548</v>
      </c>
      <c r="C38" s="1557" t="s">
        <v>482</v>
      </c>
      <c r="D38" s="1558">
        <v>6.7000000000000002E-3</v>
      </c>
      <c r="E38" s="1559">
        <v>7.1835394692132196E-2</v>
      </c>
      <c r="F38" s="1560">
        <v>9.3353946921321904E-3</v>
      </c>
      <c r="G38" s="1560">
        <v>1.2299999999999998E-2</v>
      </c>
      <c r="H38" s="1560">
        <v>7.9638112643765066E-2</v>
      </c>
      <c r="I38" s="1560">
        <v>1.7138112643765063E-2</v>
      </c>
    </row>
    <row r="39" spans="1:9">
      <c r="A39" s="1556" t="s">
        <v>205</v>
      </c>
      <c r="B39" s="1556" t="s">
        <v>537</v>
      </c>
      <c r="C39" s="1557" t="s">
        <v>473</v>
      </c>
      <c r="D39" s="1558">
        <v>2.1100000000000001E-2</v>
      </c>
      <c r="E39" s="1559">
        <v>9.1899526567759585E-2</v>
      </c>
      <c r="F39" s="1560">
        <v>2.9399526567759585E-2</v>
      </c>
      <c r="G39" s="1560">
        <v>2.63E-2</v>
      </c>
      <c r="H39" s="1560">
        <v>9.9144907522847256E-2</v>
      </c>
      <c r="I39" s="1560">
        <v>3.6644907522847256E-2</v>
      </c>
    </row>
    <row r="40" spans="1:9">
      <c r="A40" s="1556" t="s">
        <v>567</v>
      </c>
      <c r="B40" s="1556" t="s">
        <v>536</v>
      </c>
      <c r="C40" s="1557" t="s">
        <v>478</v>
      </c>
      <c r="D40" s="1558">
        <v>7.2099999999999997E-2</v>
      </c>
      <c r="E40" s="1559">
        <v>0.16295999362727326</v>
      </c>
      <c r="F40" s="1560">
        <v>0.10045999362727327</v>
      </c>
      <c r="G40" s="1560" t="s">
        <v>466</v>
      </c>
      <c r="H40" s="1560" t="s">
        <v>466</v>
      </c>
      <c r="I40" s="1560" t="s">
        <v>466</v>
      </c>
    </row>
    <row r="41" spans="1:9">
      <c r="A41" s="1556" t="s">
        <v>568</v>
      </c>
      <c r="B41" s="1556" t="s">
        <v>536</v>
      </c>
      <c r="C41" s="1557" t="s">
        <v>475</v>
      </c>
      <c r="D41" s="1558">
        <v>3.9899999999999998E-2</v>
      </c>
      <c r="E41" s="1559">
        <v>0.11809436540538423</v>
      </c>
      <c r="F41" s="1560">
        <v>5.5594365405384233E-2</v>
      </c>
      <c r="G41" s="1560" t="s">
        <v>466</v>
      </c>
      <c r="H41" s="1560" t="s">
        <v>466</v>
      </c>
      <c r="I41" s="1560" t="s">
        <v>466</v>
      </c>
    </row>
    <row r="42" spans="1:9">
      <c r="A42" s="1556" t="s">
        <v>569</v>
      </c>
      <c r="B42" s="1556" t="s">
        <v>542</v>
      </c>
      <c r="C42" s="1557" t="s">
        <v>480</v>
      </c>
      <c r="D42" s="1558">
        <v>4.99E-2</v>
      </c>
      <c r="E42" s="1559">
        <v>0.13202779031901438</v>
      </c>
      <c r="F42" s="1560">
        <v>6.9527790319014376E-2</v>
      </c>
      <c r="G42" s="1560" t="s">
        <v>466</v>
      </c>
      <c r="H42" s="1560" t="s">
        <v>466</v>
      </c>
      <c r="I42" s="1560" t="s">
        <v>466</v>
      </c>
    </row>
    <row r="43" spans="1:9">
      <c r="A43" s="1556" t="s">
        <v>570</v>
      </c>
      <c r="B43" s="1556" t="s">
        <v>537</v>
      </c>
      <c r="C43" s="1557" t="s">
        <v>477</v>
      </c>
      <c r="D43" s="1558">
        <v>2.7699999999999999E-2</v>
      </c>
      <c r="E43" s="1559">
        <v>0.10109558701075547</v>
      </c>
      <c r="F43" s="1560">
        <v>3.8595587010755474E-2</v>
      </c>
      <c r="G43" s="1560">
        <v>4.4400000000000002E-2</v>
      </c>
      <c r="H43" s="1560">
        <v>0.12436440661651779</v>
      </c>
      <c r="I43" s="1560">
        <v>6.1864406616517799E-2</v>
      </c>
    </row>
    <row r="44" spans="1:9">
      <c r="A44" s="1556" t="s">
        <v>571</v>
      </c>
      <c r="B44" s="1556" t="s">
        <v>536</v>
      </c>
      <c r="C44" s="1557" t="s">
        <v>475</v>
      </c>
      <c r="D44" s="1558">
        <v>3.9899999999999998E-2</v>
      </c>
      <c r="E44" s="1559">
        <v>0.11809436540538423</v>
      </c>
      <c r="F44" s="1560">
        <v>5.5594365405384233E-2</v>
      </c>
      <c r="G44" s="1560" t="s">
        <v>466</v>
      </c>
      <c r="H44" s="1560" t="s">
        <v>466</v>
      </c>
      <c r="I44" s="1560" t="s">
        <v>466</v>
      </c>
    </row>
    <row r="45" spans="1:9">
      <c r="A45" s="1556" t="s">
        <v>572</v>
      </c>
      <c r="B45" s="1556" t="s">
        <v>532</v>
      </c>
      <c r="C45" s="1557" t="s">
        <v>477</v>
      </c>
      <c r="D45" s="1558">
        <v>2.7699999999999999E-2</v>
      </c>
      <c r="E45" s="1559">
        <v>0.10109558701075547</v>
      </c>
      <c r="F45" s="1560">
        <v>3.8595587010755474E-2</v>
      </c>
      <c r="G45" s="1560">
        <v>0.03</v>
      </c>
      <c r="H45" s="1560">
        <v>0.1043002747408904</v>
      </c>
      <c r="I45" s="1560">
        <v>4.1800274740890403E-2</v>
      </c>
    </row>
    <row r="46" spans="1:9">
      <c r="A46" s="1556" t="s">
        <v>573</v>
      </c>
      <c r="B46" s="1556" t="s">
        <v>540</v>
      </c>
      <c r="C46" s="1557" t="s">
        <v>469</v>
      </c>
      <c r="D46" s="1558">
        <v>9.98E-2</v>
      </c>
      <c r="E46" s="1559">
        <v>0.20155558063802875</v>
      </c>
      <c r="F46" s="1560">
        <v>0.13905558063802875</v>
      </c>
      <c r="G46" s="1560" t="s">
        <v>466</v>
      </c>
      <c r="H46" s="1560" t="s">
        <v>466</v>
      </c>
      <c r="I46" s="1560" t="s">
        <v>466</v>
      </c>
    </row>
    <row r="47" spans="1:9">
      <c r="A47" s="1556" t="s">
        <v>574</v>
      </c>
      <c r="B47" s="1556" t="s">
        <v>540</v>
      </c>
      <c r="C47" s="1557" t="s">
        <v>485</v>
      </c>
      <c r="D47" s="1558">
        <v>1.3299999999999999E-2</v>
      </c>
      <c r="E47" s="1559">
        <v>8.1031455135128078E-2</v>
      </c>
      <c r="F47" s="1560">
        <v>1.8531455135128078E-2</v>
      </c>
      <c r="G47" s="1560" t="s">
        <v>466</v>
      </c>
      <c r="H47" s="1560" t="s">
        <v>466</v>
      </c>
      <c r="I47" s="1560" t="s">
        <v>466</v>
      </c>
    </row>
    <row r="48" spans="1:9">
      <c r="A48" s="1556" t="s">
        <v>575</v>
      </c>
      <c r="B48" s="1556" t="s">
        <v>534</v>
      </c>
      <c r="C48" s="1557" t="s">
        <v>480</v>
      </c>
      <c r="D48" s="1558">
        <v>4.99E-2</v>
      </c>
      <c r="E48" s="1559">
        <v>0.13202779031901438</v>
      </c>
      <c r="F48" s="1560">
        <v>6.9527790319014376E-2</v>
      </c>
      <c r="G48" s="1560">
        <v>2.7099999999999999E-2</v>
      </c>
      <c r="H48" s="1560">
        <v>0.10025958151593767</v>
      </c>
      <c r="I48" s="1560">
        <v>3.7759581515937661E-2</v>
      </c>
    </row>
    <row r="49" spans="1:9">
      <c r="A49" s="1556" t="s">
        <v>576</v>
      </c>
      <c r="B49" s="1556" t="s">
        <v>532</v>
      </c>
      <c r="C49" s="1557" t="s">
        <v>487</v>
      </c>
      <c r="D49" s="1558">
        <v>7.7999999999999996E-3</v>
      </c>
      <c r="E49" s="1559">
        <v>7.3368071432631507E-2</v>
      </c>
      <c r="F49" s="1560">
        <v>1.0868071432631505E-2</v>
      </c>
      <c r="G49" s="1560">
        <v>5.3999999999999994E-3</v>
      </c>
      <c r="H49" s="1560">
        <v>7.0024049453360271E-2</v>
      </c>
      <c r="I49" s="1560">
        <v>7.5240494533602717E-3</v>
      </c>
    </row>
    <row r="50" spans="1:9">
      <c r="A50" s="1556" t="s">
        <v>577</v>
      </c>
      <c r="B50" s="1556" t="s">
        <v>534</v>
      </c>
      <c r="C50" s="1557" t="s">
        <v>481</v>
      </c>
      <c r="D50" s="1558">
        <v>0</v>
      </c>
      <c r="E50" s="1559">
        <v>6.25E-2</v>
      </c>
      <c r="F50" s="1560">
        <v>0</v>
      </c>
      <c r="G50" s="1560">
        <v>0</v>
      </c>
      <c r="H50" s="1560">
        <v>6.25E-2</v>
      </c>
      <c r="I50" s="1560">
        <v>0</v>
      </c>
    </row>
    <row r="51" spans="1:9">
      <c r="A51" s="1556" t="s">
        <v>578</v>
      </c>
      <c r="B51" s="1556" t="s">
        <v>540</v>
      </c>
      <c r="C51" s="1557" t="s">
        <v>480</v>
      </c>
      <c r="D51" s="1558">
        <v>4.99E-2</v>
      </c>
      <c r="E51" s="1559">
        <v>0.13202779031901438</v>
      </c>
      <c r="F51" s="1560">
        <v>6.9527790319014376E-2</v>
      </c>
      <c r="G51" s="1560" t="s">
        <v>466</v>
      </c>
      <c r="H51" s="1560" t="s">
        <v>466</v>
      </c>
      <c r="I51" s="1560" t="s">
        <v>466</v>
      </c>
    </row>
    <row r="52" spans="1:9">
      <c r="A52" s="1556" t="s">
        <v>206</v>
      </c>
      <c r="B52" s="1556" t="s">
        <v>537</v>
      </c>
      <c r="C52" s="1557" t="s">
        <v>478</v>
      </c>
      <c r="D52" s="1558">
        <v>7.2099999999999997E-2</v>
      </c>
      <c r="E52" s="1559">
        <v>0.16295999362727326</v>
      </c>
      <c r="F52" s="1560">
        <v>0.10045999362727327</v>
      </c>
      <c r="G52" s="1560" t="s">
        <v>466</v>
      </c>
      <c r="H52" s="1560" t="s">
        <v>466</v>
      </c>
      <c r="I52" s="1560" t="s">
        <v>466</v>
      </c>
    </row>
    <row r="53" spans="1:9">
      <c r="A53" s="1556" t="s">
        <v>579</v>
      </c>
      <c r="B53" s="1556" t="s">
        <v>536</v>
      </c>
      <c r="C53" s="1557" t="s">
        <v>478</v>
      </c>
      <c r="D53" s="1558">
        <v>7.2099999999999997E-2</v>
      </c>
      <c r="E53" s="1559">
        <v>0.16295999362727326</v>
      </c>
      <c r="F53" s="1560">
        <v>0.10045999362727327</v>
      </c>
      <c r="G53" s="1560">
        <v>4.8799999999999996E-2</v>
      </c>
      <c r="H53" s="1560">
        <v>0.13049511357851507</v>
      </c>
      <c r="I53" s="1560">
        <v>6.7995113578515051E-2</v>
      </c>
    </row>
    <row r="54" spans="1:9">
      <c r="A54" s="1556" t="s">
        <v>580</v>
      </c>
      <c r="B54" s="1556" t="s">
        <v>537</v>
      </c>
      <c r="C54" s="1557" t="s">
        <v>475</v>
      </c>
      <c r="D54" s="1558">
        <v>3.9899999999999998E-2</v>
      </c>
      <c r="E54" s="1559">
        <v>0.11809436540538423</v>
      </c>
      <c r="F54" s="1560">
        <v>5.5594365405384233E-2</v>
      </c>
      <c r="G54" s="1560" t="s">
        <v>466</v>
      </c>
      <c r="H54" s="1560" t="s">
        <v>466</v>
      </c>
      <c r="I54" s="1560" t="s">
        <v>466</v>
      </c>
    </row>
    <row r="55" spans="1:9">
      <c r="A55" s="1556" t="s">
        <v>581</v>
      </c>
      <c r="B55" s="1556" t="s">
        <v>532</v>
      </c>
      <c r="C55" s="1557" t="s">
        <v>487</v>
      </c>
      <c r="D55" s="1558">
        <v>7.7999999999999996E-3</v>
      </c>
      <c r="E55" s="1559">
        <v>7.3368071432631507E-2</v>
      </c>
      <c r="F55" s="1560">
        <v>1.0868071432631505E-2</v>
      </c>
      <c r="G55" s="1560">
        <v>4.6000000000000008E-3</v>
      </c>
      <c r="H55" s="1560">
        <v>6.8909375460269859E-2</v>
      </c>
      <c r="I55" s="1560">
        <v>6.4093754602698632E-3</v>
      </c>
    </row>
    <row r="56" spans="1:9">
      <c r="A56" s="1556" t="s">
        <v>582</v>
      </c>
      <c r="B56" s="1556" t="s">
        <v>536</v>
      </c>
      <c r="C56" s="1557" t="s">
        <v>480</v>
      </c>
      <c r="D56" s="1558">
        <v>4.99E-2</v>
      </c>
      <c r="E56" s="1559">
        <v>0.13202779031901438</v>
      </c>
      <c r="F56" s="1560">
        <v>6.9527790319014376E-2</v>
      </c>
      <c r="G56" s="1560" t="s">
        <v>466</v>
      </c>
      <c r="H56" s="1560" t="s">
        <v>466</v>
      </c>
      <c r="I56" s="1560" t="s">
        <v>466</v>
      </c>
    </row>
    <row r="57" spans="1:9">
      <c r="A57" s="1556" t="s">
        <v>583</v>
      </c>
      <c r="B57" s="1556" t="s">
        <v>548</v>
      </c>
      <c r="C57" s="1557" t="s">
        <v>480</v>
      </c>
      <c r="D57" s="1558">
        <v>4.99E-2</v>
      </c>
      <c r="E57" s="1559">
        <v>0.13202779031901438</v>
      </c>
      <c r="F57" s="1560">
        <v>6.9527790319014376E-2</v>
      </c>
      <c r="G57" s="1560" t="s">
        <v>466</v>
      </c>
      <c r="H57" s="1560" t="s">
        <v>466</v>
      </c>
      <c r="I57" s="1560" t="s">
        <v>466</v>
      </c>
    </row>
    <row r="58" spans="1:9">
      <c r="A58" s="1556" t="s">
        <v>584</v>
      </c>
      <c r="B58" s="1556" t="s">
        <v>534</v>
      </c>
      <c r="C58" s="1557" t="s">
        <v>481</v>
      </c>
      <c r="D58" s="1558">
        <v>0</v>
      </c>
      <c r="E58" s="1559">
        <v>6.25E-2</v>
      </c>
      <c r="F58" s="1560">
        <v>0</v>
      </c>
      <c r="G58" s="1560">
        <v>7.000000000000001E-4</v>
      </c>
      <c r="H58" s="1560">
        <v>6.3475339743954112E-2</v>
      </c>
      <c r="I58" s="1560">
        <v>9.7533974395410956E-4</v>
      </c>
    </row>
    <row r="59" spans="1:9">
      <c r="A59" s="1556" t="s">
        <v>585</v>
      </c>
      <c r="B59" s="1556" t="s">
        <v>534</v>
      </c>
      <c r="C59" s="1557" t="s">
        <v>483</v>
      </c>
      <c r="D59" s="1558">
        <v>5.4999999999999997E-3</v>
      </c>
      <c r="E59" s="1559">
        <v>7.0163383702496571E-2</v>
      </c>
      <c r="F59" s="1560">
        <v>7.6633837024965732E-3</v>
      </c>
      <c r="G59" s="1560">
        <v>2.1000000000000003E-3</v>
      </c>
      <c r="H59" s="1560">
        <v>6.5426019231862323E-2</v>
      </c>
      <c r="I59" s="1560">
        <v>2.9260192318623286E-3</v>
      </c>
    </row>
    <row r="60" spans="1:9">
      <c r="A60" s="1556" t="s">
        <v>586</v>
      </c>
      <c r="B60" s="1556" t="s">
        <v>536</v>
      </c>
      <c r="C60" s="1557" t="s">
        <v>475</v>
      </c>
      <c r="D60" s="1558">
        <v>3.9899999999999998E-2</v>
      </c>
      <c r="E60" s="1559">
        <v>0.11809436540538423</v>
      </c>
      <c r="F60" s="1560">
        <v>5.5594365405384233E-2</v>
      </c>
      <c r="G60" s="1560" t="s">
        <v>466</v>
      </c>
      <c r="H60" s="1560" t="s">
        <v>466</v>
      </c>
      <c r="I60" s="1560" t="s">
        <v>466</v>
      </c>
    </row>
    <row r="61" spans="1:9">
      <c r="A61" s="1556" t="s">
        <v>587</v>
      </c>
      <c r="B61" s="1556" t="s">
        <v>532</v>
      </c>
      <c r="C61" s="1557" t="s">
        <v>475</v>
      </c>
      <c r="D61" s="1558">
        <v>3.9899999999999998E-2</v>
      </c>
      <c r="E61" s="1559">
        <v>0.11809436540538423</v>
      </c>
      <c r="F61" s="1560">
        <v>5.5594365405384233E-2</v>
      </c>
      <c r="G61" s="1560" t="s">
        <v>466</v>
      </c>
      <c r="H61" s="1560" t="s">
        <v>466</v>
      </c>
      <c r="I61" s="1560" t="s">
        <v>466</v>
      </c>
    </row>
    <row r="62" spans="1:9">
      <c r="A62" s="1556" t="s">
        <v>588</v>
      </c>
      <c r="B62" s="1556" t="s">
        <v>534</v>
      </c>
      <c r="C62" s="1557" t="s">
        <v>481</v>
      </c>
      <c r="D62" s="1558">
        <v>0</v>
      </c>
      <c r="E62" s="1559">
        <v>6.25E-2</v>
      </c>
      <c r="F62" s="1560">
        <v>0</v>
      </c>
      <c r="G62" s="1560">
        <v>0</v>
      </c>
      <c r="H62" s="1560">
        <v>6.25E-2</v>
      </c>
      <c r="I62" s="1560">
        <v>0</v>
      </c>
    </row>
    <row r="63" spans="1:9">
      <c r="A63" s="1556" t="s">
        <v>589</v>
      </c>
      <c r="B63" s="1556" t="s">
        <v>536</v>
      </c>
      <c r="C63" s="1557" t="s">
        <v>478</v>
      </c>
      <c r="D63" s="1558">
        <v>7.2099999999999997E-2</v>
      </c>
      <c r="E63" s="1559">
        <v>0.16295999362727326</v>
      </c>
      <c r="F63" s="1560">
        <v>0.10045999362727327</v>
      </c>
      <c r="G63" s="1560" t="s">
        <v>466</v>
      </c>
      <c r="H63" s="1560" t="s">
        <v>466</v>
      </c>
      <c r="I63" s="1560" t="s">
        <v>466</v>
      </c>
    </row>
    <row r="64" spans="1:9">
      <c r="A64" s="1556" t="s">
        <v>590</v>
      </c>
      <c r="B64" s="1556" t="s">
        <v>534</v>
      </c>
      <c r="C64" s="1557" t="s">
        <v>468</v>
      </c>
      <c r="D64" s="1558">
        <v>0.1108</v>
      </c>
      <c r="E64" s="1559">
        <v>0.21688234804302189</v>
      </c>
      <c r="F64" s="1560">
        <v>0.15438234804302189</v>
      </c>
      <c r="G64" s="1560" t="s">
        <v>466</v>
      </c>
      <c r="H64" s="1560" t="s">
        <v>466</v>
      </c>
      <c r="I64" s="1560" t="s">
        <v>466</v>
      </c>
    </row>
    <row r="65" spans="1:9">
      <c r="A65" s="1556" t="s">
        <v>591</v>
      </c>
      <c r="B65" s="1556" t="s">
        <v>537</v>
      </c>
      <c r="C65" s="1557" t="s">
        <v>477</v>
      </c>
      <c r="D65" s="1558">
        <v>2.7699999999999999E-2</v>
      </c>
      <c r="E65" s="1559">
        <v>0.10109558701075547</v>
      </c>
      <c r="F65" s="1560">
        <v>3.8595587010755474E-2</v>
      </c>
      <c r="G65" s="1560" t="s">
        <v>466</v>
      </c>
      <c r="H65" s="1560" t="s">
        <v>466</v>
      </c>
      <c r="I65" s="1560" t="s">
        <v>466</v>
      </c>
    </row>
    <row r="66" spans="1:9">
      <c r="A66" s="1556" t="s">
        <v>592</v>
      </c>
      <c r="B66" s="1556" t="s">
        <v>534</v>
      </c>
      <c r="C66" s="1557" t="s">
        <v>484</v>
      </c>
      <c r="D66" s="1558">
        <v>4.4000000000000003E-3</v>
      </c>
      <c r="E66" s="1559">
        <v>6.8630706961997259E-2</v>
      </c>
      <c r="F66" s="1560">
        <v>6.1307069619972593E-3</v>
      </c>
      <c r="G66" s="1560" t="s">
        <v>466</v>
      </c>
      <c r="H66" s="1560" t="s">
        <v>466</v>
      </c>
      <c r="I66" s="1560" t="s">
        <v>466</v>
      </c>
    </row>
    <row r="67" spans="1:9">
      <c r="A67" s="1556" t="s">
        <v>593</v>
      </c>
      <c r="B67" s="1556" t="s">
        <v>537</v>
      </c>
      <c r="C67" s="1557" t="s">
        <v>478</v>
      </c>
      <c r="D67" s="1558">
        <v>7.2099999999999997E-2</v>
      </c>
      <c r="E67" s="1559">
        <v>0.16295999362727326</v>
      </c>
      <c r="F67" s="1560">
        <v>0.10045999362727327</v>
      </c>
      <c r="G67" s="1560" t="s">
        <v>466</v>
      </c>
      <c r="H67" s="1560" t="s">
        <v>466</v>
      </c>
      <c r="I67" s="1560" t="s">
        <v>466</v>
      </c>
    </row>
    <row r="68" spans="1:9">
      <c r="A68" s="1556" t="s">
        <v>594</v>
      </c>
      <c r="B68" s="1556" t="s">
        <v>548</v>
      </c>
      <c r="C68" s="1557" t="s">
        <v>484</v>
      </c>
      <c r="D68" s="1558">
        <v>4.4000000000000003E-3</v>
      </c>
      <c r="E68" s="1559">
        <v>6.8630706961997259E-2</v>
      </c>
      <c r="F68" s="1560">
        <v>6.1307069619972593E-3</v>
      </c>
      <c r="G68" s="1560">
        <v>3.8999999999999998E-3</v>
      </c>
      <c r="H68" s="1560">
        <v>6.7934035716315747E-2</v>
      </c>
      <c r="I68" s="1560">
        <v>5.4340357163157526E-3</v>
      </c>
    </row>
    <row r="69" spans="1:9">
      <c r="A69" s="1556" t="s">
        <v>595</v>
      </c>
      <c r="B69" s="1556" t="s">
        <v>532</v>
      </c>
      <c r="C69" s="1557" t="s">
        <v>477</v>
      </c>
      <c r="D69" s="1558">
        <v>2.7699999999999999E-2</v>
      </c>
      <c r="E69" s="1559">
        <v>0.10109558701075547</v>
      </c>
      <c r="F69" s="1560">
        <v>3.8595587010755474E-2</v>
      </c>
      <c r="G69" s="1560">
        <v>1.7599999999999998E-2</v>
      </c>
      <c r="H69" s="1560">
        <v>8.7022827847989037E-2</v>
      </c>
      <c r="I69" s="1560">
        <v>2.4522827847989034E-2</v>
      </c>
    </row>
    <row r="70" spans="1:9">
      <c r="A70" s="1556" t="s">
        <v>596</v>
      </c>
      <c r="B70" s="1556" t="s">
        <v>534</v>
      </c>
      <c r="C70" s="1557" t="s">
        <v>473</v>
      </c>
      <c r="D70" s="1558">
        <v>2.1100000000000001E-2</v>
      </c>
      <c r="E70" s="1559">
        <v>9.1899526567759585E-2</v>
      </c>
      <c r="F70" s="1560">
        <v>2.9399526567759585E-2</v>
      </c>
      <c r="G70" s="1560">
        <v>4.1000000000000003E-3</v>
      </c>
      <c r="H70" s="1560">
        <v>6.821270421458836E-2</v>
      </c>
      <c r="I70" s="1560">
        <v>5.7127042145883556E-3</v>
      </c>
    </row>
    <row r="71" spans="1:9">
      <c r="A71" s="1556" t="s">
        <v>597</v>
      </c>
      <c r="B71" s="1556" t="s">
        <v>548</v>
      </c>
      <c r="C71" s="1557" t="s">
        <v>472</v>
      </c>
      <c r="D71" s="1558">
        <v>2.4400000000000002E-2</v>
      </c>
      <c r="E71" s="1559">
        <v>9.6497556789257533E-2</v>
      </c>
      <c r="F71" s="1560">
        <v>3.3997556789257533E-2</v>
      </c>
      <c r="G71" s="1560">
        <v>1.72E-2</v>
      </c>
      <c r="H71" s="1560">
        <v>8.6465490851443838E-2</v>
      </c>
      <c r="I71" s="1560">
        <v>2.3965490851443831E-2</v>
      </c>
    </row>
    <row r="72" spans="1:9">
      <c r="A72" s="1556" t="s">
        <v>598</v>
      </c>
      <c r="B72" s="1556" t="s">
        <v>548</v>
      </c>
      <c r="C72" s="1557" t="s">
        <v>472</v>
      </c>
      <c r="D72" s="1558">
        <v>2.4400000000000002E-2</v>
      </c>
      <c r="E72" s="1559">
        <v>9.6497556789257533E-2</v>
      </c>
      <c r="F72" s="1560">
        <v>3.3997556789257533E-2</v>
      </c>
      <c r="G72" s="1560">
        <v>2.86E-2</v>
      </c>
      <c r="H72" s="1560">
        <v>0.10234959525298218</v>
      </c>
      <c r="I72" s="1560">
        <v>3.9849595252982185E-2</v>
      </c>
    </row>
    <row r="73" spans="1:9">
      <c r="A73" s="1556" t="s">
        <v>599</v>
      </c>
      <c r="B73" s="1556" t="s">
        <v>534</v>
      </c>
      <c r="C73" s="1557" t="s">
        <v>474</v>
      </c>
      <c r="D73" s="1558">
        <v>1.77E-2</v>
      </c>
      <c r="E73" s="1559">
        <v>8.7162162097125337E-2</v>
      </c>
      <c r="F73" s="1560">
        <v>2.466216209712534E-2</v>
      </c>
      <c r="G73" s="1560">
        <v>4.1000000000000003E-3</v>
      </c>
      <c r="H73" s="1560">
        <v>6.821270421458836E-2</v>
      </c>
      <c r="I73" s="1560">
        <v>5.7127042145883556E-3</v>
      </c>
    </row>
    <row r="74" spans="1:9">
      <c r="A74" s="1556" t="s">
        <v>600</v>
      </c>
      <c r="B74" s="1556" t="s">
        <v>534</v>
      </c>
      <c r="C74" s="1557" t="s">
        <v>484</v>
      </c>
      <c r="D74" s="1558">
        <v>4.4000000000000003E-3</v>
      </c>
      <c r="E74" s="1559">
        <v>6.8630706961997259E-2</v>
      </c>
      <c r="F74" s="1560">
        <v>6.1307069619972593E-3</v>
      </c>
      <c r="G74" s="1560" t="s">
        <v>466</v>
      </c>
      <c r="H74" s="1560" t="s">
        <v>466</v>
      </c>
      <c r="I74" s="1560" t="s">
        <v>466</v>
      </c>
    </row>
    <row r="75" spans="1:9">
      <c r="A75" s="1556" t="s">
        <v>601</v>
      </c>
      <c r="B75" s="1556" t="s">
        <v>530</v>
      </c>
      <c r="C75" s="1557" t="s">
        <v>487</v>
      </c>
      <c r="D75" s="1558">
        <v>7.7999999999999996E-3</v>
      </c>
      <c r="E75" s="1559">
        <v>7.3368071432631507E-2</v>
      </c>
      <c r="F75" s="1560">
        <v>1.0868071432631505E-2</v>
      </c>
      <c r="G75" s="1560">
        <v>8.6999999999999994E-3</v>
      </c>
      <c r="H75" s="1560">
        <v>7.4622079674858219E-2</v>
      </c>
      <c r="I75" s="1560">
        <v>1.2122079674858217E-2</v>
      </c>
    </row>
    <row r="76" spans="1:9">
      <c r="A76" s="1556" t="s">
        <v>602</v>
      </c>
      <c r="B76" s="1556" t="s">
        <v>534</v>
      </c>
      <c r="C76" s="1557" t="s">
        <v>473</v>
      </c>
      <c r="D76" s="1558">
        <v>2.1100000000000001E-2</v>
      </c>
      <c r="E76" s="1559">
        <v>9.1899526567759585E-2</v>
      </c>
      <c r="F76" s="1560">
        <v>2.9399526567759585E-2</v>
      </c>
      <c r="G76" s="1560">
        <v>1.15E-2</v>
      </c>
      <c r="H76" s="1560">
        <v>7.8523438650674654E-2</v>
      </c>
      <c r="I76" s="1560">
        <v>1.6023438650674654E-2</v>
      </c>
    </row>
    <row r="77" spans="1:9">
      <c r="A77" s="1556" t="s">
        <v>603</v>
      </c>
      <c r="B77" s="1556" t="s">
        <v>540</v>
      </c>
      <c r="C77" s="1557" t="s">
        <v>469</v>
      </c>
      <c r="D77" s="1558">
        <v>9.98E-2</v>
      </c>
      <c r="E77" s="1559">
        <v>0.20155558063802875</v>
      </c>
      <c r="F77" s="1560">
        <v>0.13905558063802875</v>
      </c>
      <c r="G77" s="1560" t="s">
        <v>466</v>
      </c>
      <c r="H77" s="1560" t="s">
        <v>466</v>
      </c>
      <c r="I77" s="1560" t="s">
        <v>466</v>
      </c>
    </row>
    <row r="78" spans="1:9">
      <c r="A78" s="1556" t="s">
        <v>604</v>
      </c>
      <c r="B78" s="1556" t="s">
        <v>548</v>
      </c>
      <c r="C78" s="1557" t="s">
        <v>487</v>
      </c>
      <c r="D78" s="1558">
        <v>7.7999999999999996E-3</v>
      </c>
      <c r="E78" s="1559">
        <v>7.3368071432631507E-2</v>
      </c>
      <c r="F78" s="1560">
        <v>1.0868071432631505E-2</v>
      </c>
      <c r="G78" s="1560">
        <v>5.3999999999999994E-3</v>
      </c>
      <c r="H78" s="1560">
        <v>7.0024049453360271E-2</v>
      </c>
      <c r="I78" s="1560">
        <v>7.5240494533602717E-3</v>
      </c>
    </row>
    <row r="79" spans="1:9">
      <c r="A79" s="1556" t="s">
        <v>605</v>
      </c>
      <c r="B79" s="1556" t="s">
        <v>534</v>
      </c>
      <c r="C79" s="1557" t="s">
        <v>484</v>
      </c>
      <c r="D79" s="1558">
        <v>4.4000000000000003E-3</v>
      </c>
      <c r="E79" s="1559">
        <v>6.8630706961997259E-2</v>
      </c>
      <c r="F79" s="1560">
        <v>6.1307069619972593E-3</v>
      </c>
      <c r="G79" s="1560" t="s">
        <v>466</v>
      </c>
      <c r="H79" s="1560" t="s">
        <v>466</v>
      </c>
      <c r="I79" s="1560" t="s">
        <v>466</v>
      </c>
    </row>
    <row r="80" spans="1:9">
      <c r="A80" s="1556" t="s">
        <v>606</v>
      </c>
      <c r="B80" s="1556" t="s">
        <v>530</v>
      </c>
      <c r="C80" s="1557" t="s">
        <v>480</v>
      </c>
      <c r="D80" s="1558">
        <v>4.99E-2</v>
      </c>
      <c r="E80" s="1559">
        <v>0.13202779031901438</v>
      </c>
      <c r="F80" s="1560">
        <v>6.9527790319014376E-2</v>
      </c>
      <c r="G80" s="1560" t="s">
        <v>466</v>
      </c>
      <c r="H80" s="1560" t="s">
        <v>466</v>
      </c>
      <c r="I80" s="1560" t="s">
        <v>466</v>
      </c>
    </row>
    <row r="81" spans="1:9">
      <c r="A81" s="1556" t="s">
        <v>607</v>
      </c>
      <c r="B81" s="1556" t="s">
        <v>532</v>
      </c>
      <c r="C81" s="1557" t="s">
        <v>473</v>
      </c>
      <c r="D81" s="1558">
        <v>2.1100000000000001E-2</v>
      </c>
      <c r="E81" s="1559">
        <v>9.1899526567759585E-2</v>
      </c>
      <c r="F81" s="1560">
        <v>2.9399526567759585E-2</v>
      </c>
      <c r="G81" s="1560">
        <v>2.9100000000000001E-2</v>
      </c>
      <c r="H81" s="1560">
        <v>0.10304626649866369</v>
      </c>
      <c r="I81" s="1560">
        <v>4.0546266498663691E-2</v>
      </c>
    </row>
    <row r="82" spans="1:9">
      <c r="A82" s="1556" t="s">
        <v>608</v>
      </c>
      <c r="B82" s="1556" t="s">
        <v>536</v>
      </c>
      <c r="C82" s="1557" t="s">
        <v>480</v>
      </c>
      <c r="D82" s="1558">
        <v>4.99E-2</v>
      </c>
      <c r="E82" s="1559">
        <v>0.13202779031901438</v>
      </c>
      <c r="F82" s="1560">
        <v>6.9527790319014376E-2</v>
      </c>
      <c r="G82" s="1560" t="s">
        <v>466</v>
      </c>
      <c r="H82" s="1560" t="s">
        <v>466</v>
      </c>
      <c r="I82" s="1560" t="s">
        <v>466</v>
      </c>
    </row>
    <row r="83" spans="1:9">
      <c r="A83" s="1556" t="s">
        <v>609</v>
      </c>
      <c r="B83" s="1556" t="s">
        <v>548</v>
      </c>
      <c r="C83" s="1557" t="s">
        <v>483</v>
      </c>
      <c r="D83" s="1558">
        <v>5.4999999999999997E-3</v>
      </c>
      <c r="E83" s="1559">
        <v>7.0163383702496571E-2</v>
      </c>
      <c r="F83" s="1560">
        <v>7.6633837024965732E-3</v>
      </c>
      <c r="G83" s="1560">
        <v>4.000000000000001E-3</v>
      </c>
      <c r="H83" s="1560">
        <v>6.807336996545206E-2</v>
      </c>
      <c r="I83" s="1560">
        <v>5.573369965452055E-3</v>
      </c>
    </row>
    <row r="84" spans="1:9">
      <c r="A84" s="1556" t="s">
        <v>610</v>
      </c>
      <c r="B84" s="1556" t="s">
        <v>530</v>
      </c>
      <c r="C84" s="1557" t="s">
        <v>483</v>
      </c>
      <c r="D84" s="1558">
        <v>5.4999999999999997E-3</v>
      </c>
      <c r="E84" s="1559">
        <v>7.0163383702496571E-2</v>
      </c>
      <c r="F84" s="1560">
        <v>7.6633837024965732E-3</v>
      </c>
      <c r="G84" s="1560" t="s">
        <v>466</v>
      </c>
      <c r="H84" s="1560" t="s">
        <v>466</v>
      </c>
      <c r="I84" s="1560" t="s">
        <v>466</v>
      </c>
    </row>
    <row r="85" spans="1:9">
      <c r="A85" s="1556" t="s">
        <v>611</v>
      </c>
      <c r="B85" s="1556" t="s">
        <v>532</v>
      </c>
      <c r="C85" s="1557" t="s">
        <v>485</v>
      </c>
      <c r="D85" s="1558">
        <v>1.3299999999999999E-2</v>
      </c>
      <c r="E85" s="1559">
        <v>8.1031455135128078E-2</v>
      </c>
      <c r="F85" s="1560">
        <v>1.8531455135128078E-2</v>
      </c>
      <c r="G85" s="1560">
        <v>9.0000000000000011E-3</v>
      </c>
      <c r="H85" s="1560">
        <v>7.5040082422267118E-2</v>
      </c>
      <c r="I85" s="1560">
        <v>1.2540082422267123E-2</v>
      </c>
    </row>
    <row r="86" spans="1:9">
      <c r="A86" s="1556" t="s">
        <v>612</v>
      </c>
      <c r="B86" s="1556" t="s">
        <v>530</v>
      </c>
      <c r="C86" s="1557" t="s">
        <v>479</v>
      </c>
      <c r="D86" s="1558">
        <v>6.0999999999999999E-2</v>
      </c>
      <c r="E86" s="1559">
        <v>0.14749389197314383</v>
      </c>
      <c r="F86" s="1560">
        <v>8.4993891973143817E-2</v>
      </c>
      <c r="G86" s="1560">
        <v>4.48E-2</v>
      </c>
      <c r="H86" s="1560">
        <v>0.124921743613063</v>
      </c>
      <c r="I86" s="1560">
        <v>6.2421743613063005E-2</v>
      </c>
    </row>
    <row r="87" spans="1:9">
      <c r="A87" s="1556" t="s">
        <v>613</v>
      </c>
      <c r="B87" s="1556" t="s">
        <v>534</v>
      </c>
      <c r="C87" s="1557" t="s">
        <v>481</v>
      </c>
      <c r="D87" s="1558">
        <v>0</v>
      </c>
      <c r="E87" s="1559">
        <v>6.25E-2</v>
      </c>
      <c r="F87" s="1560">
        <v>0</v>
      </c>
      <c r="G87" s="1560" t="s">
        <v>466</v>
      </c>
      <c r="H87" s="1560" t="s">
        <v>466</v>
      </c>
      <c r="I87" s="1560" t="s">
        <v>466</v>
      </c>
    </row>
    <row r="88" spans="1:9">
      <c r="A88" s="1556" t="s">
        <v>614</v>
      </c>
      <c r="B88" s="1556" t="s">
        <v>532</v>
      </c>
      <c r="C88" s="1557" t="s">
        <v>485</v>
      </c>
      <c r="D88" s="1558">
        <v>1.3299999999999999E-2</v>
      </c>
      <c r="E88" s="1559">
        <v>8.1031455135128078E-2</v>
      </c>
      <c r="F88" s="1560">
        <v>1.8531455135128078E-2</v>
      </c>
      <c r="G88" s="1560">
        <v>9.0000000000000011E-3</v>
      </c>
      <c r="H88" s="1560">
        <v>7.5040082422267118E-2</v>
      </c>
      <c r="I88" s="1560">
        <v>1.2540082422267123E-2</v>
      </c>
    </row>
    <row r="89" spans="1:9">
      <c r="A89" s="1556" t="s">
        <v>615</v>
      </c>
      <c r="B89" s="1556" t="s">
        <v>534</v>
      </c>
      <c r="C89" s="1557" t="s">
        <v>481</v>
      </c>
      <c r="D89" s="1558">
        <v>0</v>
      </c>
      <c r="E89" s="1559">
        <v>6.25E-2</v>
      </c>
      <c r="F89" s="1560">
        <v>0</v>
      </c>
      <c r="G89" s="1560" t="s">
        <v>466</v>
      </c>
      <c r="H89" s="1560" t="s">
        <v>466</v>
      </c>
      <c r="I89" s="1560" t="s">
        <v>466</v>
      </c>
    </row>
    <row r="90" spans="1:9">
      <c r="A90" s="1556" t="s">
        <v>616</v>
      </c>
      <c r="B90" s="1556" t="s">
        <v>548</v>
      </c>
      <c r="C90" s="1557" t="s">
        <v>483</v>
      </c>
      <c r="D90" s="1558">
        <v>5.4999999999999997E-3</v>
      </c>
      <c r="E90" s="1559">
        <v>7.0163383702496571E-2</v>
      </c>
      <c r="F90" s="1560">
        <v>7.6633837024965732E-3</v>
      </c>
      <c r="G90" s="1560" t="s">
        <v>466</v>
      </c>
      <c r="H90" s="1560" t="s">
        <v>466</v>
      </c>
      <c r="I90" s="1560" t="s">
        <v>466</v>
      </c>
    </row>
    <row r="91" spans="1:9">
      <c r="A91" s="1556" t="s">
        <v>617</v>
      </c>
      <c r="B91" s="1556" t="s">
        <v>532</v>
      </c>
      <c r="C91" s="1557" t="s">
        <v>475</v>
      </c>
      <c r="D91" s="1558">
        <v>3.9899999999999998E-2</v>
      </c>
      <c r="E91" s="1559">
        <v>0.11809436540538423</v>
      </c>
      <c r="F91" s="1560">
        <v>5.5594365405384233E-2</v>
      </c>
      <c r="G91" s="1560" t="s">
        <v>466</v>
      </c>
      <c r="H91" s="1560" t="s">
        <v>466</v>
      </c>
      <c r="I91" s="1560" t="s">
        <v>466</v>
      </c>
    </row>
    <row r="92" spans="1:9">
      <c r="A92" s="1556" t="s">
        <v>618</v>
      </c>
      <c r="B92" s="1556" t="s">
        <v>548</v>
      </c>
      <c r="C92" s="1557" t="s">
        <v>485</v>
      </c>
      <c r="D92" s="1558">
        <v>1.3299999999999999E-2</v>
      </c>
      <c r="E92" s="1559">
        <v>8.1031455135128078E-2</v>
      </c>
      <c r="F92" s="1560">
        <v>1.8531455135128078E-2</v>
      </c>
      <c r="G92" s="1560">
        <v>2.1100000000000001E-2</v>
      </c>
      <c r="H92" s="1560">
        <v>9.1899526567759585E-2</v>
      </c>
      <c r="I92" s="1560">
        <v>2.9399526567759585E-2</v>
      </c>
    </row>
    <row r="93" spans="1:9">
      <c r="A93" s="1556" t="s">
        <v>619</v>
      </c>
      <c r="B93" s="1556" t="s">
        <v>534</v>
      </c>
      <c r="C93" s="1557" t="s">
        <v>485</v>
      </c>
      <c r="D93" s="1558">
        <v>1.3299999999999999E-2</v>
      </c>
      <c r="E93" s="1559">
        <v>8.1031455135128078E-2</v>
      </c>
      <c r="F93" s="1560">
        <v>1.8531455135128078E-2</v>
      </c>
      <c r="G93" s="1560" t="s">
        <v>466</v>
      </c>
      <c r="H93" s="1560" t="s">
        <v>466</v>
      </c>
      <c r="I93" s="1560" t="s">
        <v>466</v>
      </c>
    </row>
    <row r="94" spans="1:9">
      <c r="A94" s="1556" t="s">
        <v>620</v>
      </c>
      <c r="B94" s="1556" t="s">
        <v>548</v>
      </c>
      <c r="C94" s="1557" t="s">
        <v>474</v>
      </c>
      <c r="D94" s="1558">
        <v>1.77E-2</v>
      </c>
      <c r="E94" s="1559">
        <v>8.7162162097125337E-2</v>
      </c>
      <c r="F94" s="1560">
        <v>2.466216209712534E-2</v>
      </c>
      <c r="G94" s="1560" t="s">
        <v>466</v>
      </c>
      <c r="H94" s="1560" t="s">
        <v>466</v>
      </c>
      <c r="I94" s="1560" t="s">
        <v>466</v>
      </c>
    </row>
    <row r="95" spans="1:9">
      <c r="A95" s="1556" t="s">
        <v>621</v>
      </c>
      <c r="B95" s="1556" t="s">
        <v>537</v>
      </c>
      <c r="C95" s="1557" t="s">
        <v>485</v>
      </c>
      <c r="D95" s="1558">
        <v>1.3299999999999999E-2</v>
      </c>
      <c r="E95" s="1559">
        <v>8.1031455135128078E-2</v>
      </c>
      <c r="F95" s="1560">
        <v>1.8531455135128078E-2</v>
      </c>
      <c r="G95" s="1560">
        <v>1.9099999999999999E-2</v>
      </c>
      <c r="H95" s="1560">
        <v>8.9112841585033548E-2</v>
      </c>
      <c r="I95" s="1560">
        <v>2.6612841585033555E-2</v>
      </c>
    </row>
    <row r="96" spans="1:9">
      <c r="A96" s="1556" t="s">
        <v>622</v>
      </c>
      <c r="B96" s="1556" t="s">
        <v>532</v>
      </c>
      <c r="C96" s="1557" t="s">
        <v>478</v>
      </c>
      <c r="D96" s="1558">
        <v>7.2099999999999997E-2</v>
      </c>
      <c r="E96" s="1559">
        <v>0.16295999362727326</v>
      </c>
      <c r="F96" s="1560">
        <v>0.10045999362727327</v>
      </c>
      <c r="G96" s="1560" t="s">
        <v>466</v>
      </c>
      <c r="H96" s="1560" t="s">
        <v>466</v>
      </c>
      <c r="I96" s="1560" t="s">
        <v>466</v>
      </c>
    </row>
    <row r="97" spans="1:9">
      <c r="A97" s="1556" t="s">
        <v>623</v>
      </c>
      <c r="B97" s="1556" t="s">
        <v>548</v>
      </c>
      <c r="C97" s="1557" t="s">
        <v>479</v>
      </c>
      <c r="D97" s="1558">
        <v>6.0999999999999999E-2</v>
      </c>
      <c r="E97" s="1559">
        <v>0.14749389197314383</v>
      </c>
      <c r="F97" s="1560">
        <v>8.4993891973143817E-2</v>
      </c>
      <c r="G97" s="1560" t="s">
        <v>466</v>
      </c>
      <c r="H97" s="1560" t="s">
        <v>466</v>
      </c>
      <c r="I97" s="1560" t="s">
        <v>466</v>
      </c>
    </row>
    <row r="98" spans="1:9">
      <c r="A98" s="1556" t="s">
        <v>624</v>
      </c>
      <c r="B98" s="1556" t="s">
        <v>532</v>
      </c>
      <c r="C98" s="1557" t="s">
        <v>475</v>
      </c>
      <c r="D98" s="1558">
        <v>3.9899999999999998E-2</v>
      </c>
      <c r="E98" s="1559">
        <v>0.11809436540538423</v>
      </c>
      <c r="F98" s="1560">
        <v>5.5594365405384233E-2</v>
      </c>
      <c r="G98" s="1560" t="s">
        <v>466</v>
      </c>
      <c r="H98" s="1560" t="s">
        <v>466</v>
      </c>
      <c r="I98" s="1560" t="s">
        <v>466</v>
      </c>
    </row>
    <row r="99" spans="1:9">
      <c r="A99" s="1556" t="s">
        <v>625</v>
      </c>
      <c r="B99" s="1556" t="s">
        <v>540</v>
      </c>
      <c r="C99" s="1557" t="s">
        <v>472</v>
      </c>
      <c r="D99" s="1558">
        <v>2.4400000000000002E-2</v>
      </c>
      <c r="E99" s="1559">
        <v>9.6497556789257533E-2</v>
      </c>
      <c r="F99" s="1560">
        <v>3.3997556789257533E-2</v>
      </c>
      <c r="G99" s="1560" t="s">
        <v>466</v>
      </c>
      <c r="H99" s="1560" t="s">
        <v>466</v>
      </c>
      <c r="I99" s="1560" t="s">
        <v>466</v>
      </c>
    </row>
    <row r="100" spans="1:9">
      <c r="A100" s="1556" t="s">
        <v>626</v>
      </c>
      <c r="B100" s="1556" t="s">
        <v>536</v>
      </c>
      <c r="C100" s="1557" t="s">
        <v>477</v>
      </c>
      <c r="D100" s="1558">
        <v>2.7699999999999999E-2</v>
      </c>
      <c r="E100" s="1559">
        <v>0.10109558701075547</v>
      </c>
      <c r="F100" s="1560">
        <v>3.8595587010755474E-2</v>
      </c>
      <c r="G100" s="1560">
        <v>1.8699999999999998E-2</v>
      </c>
      <c r="H100" s="1560">
        <v>8.8555504588488348E-2</v>
      </c>
      <c r="I100" s="1560">
        <v>2.6055504588488348E-2</v>
      </c>
    </row>
    <row r="101" spans="1:9">
      <c r="A101" s="1556" t="s">
        <v>627</v>
      </c>
      <c r="B101" s="1556" t="s">
        <v>536</v>
      </c>
      <c r="C101" s="1557" t="s">
        <v>479</v>
      </c>
      <c r="D101" s="1558">
        <v>6.0999999999999999E-2</v>
      </c>
      <c r="E101" s="1559">
        <v>0.14749389197314383</v>
      </c>
      <c r="F101" s="1560">
        <v>8.4993891973143817E-2</v>
      </c>
      <c r="G101" s="1560" t="s">
        <v>466</v>
      </c>
      <c r="H101" s="1560" t="s">
        <v>466</v>
      </c>
      <c r="I101" s="1560" t="s">
        <v>466</v>
      </c>
    </row>
    <row r="102" spans="1:9">
      <c r="A102" s="1556" t="s">
        <v>628</v>
      </c>
      <c r="B102" s="1556" t="s">
        <v>536</v>
      </c>
      <c r="C102" s="1557" t="s">
        <v>472</v>
      </c>
      <c r="D102" s="1558">
        <v>2.4400000000000002E-2</v>
      </c>
      <c r="E102" s="1559">
        <v>9.6497556789257533E-2</v>
      </c>
      <c r="F102" s="1560">
        <v>3.3997556789257533E-2</v>
      </c>
      <c r="G102" s="1560" t="s">
        <v>466</v>
      </c>
      <c r="H102" s="1560" t="s">
        <v>466</v>
      </c>
      <c r="I102" s="1560" t="s">
        <v>466</v>
      </c>
    </row>
    <row r="103" spans="1:9">
      <c r="A103" s="1556" t="s">
        <v>629</v>
      </c>
      <c r="B103" s="1556" t="s">
        <v>534</v>
      </c>
      <c r="C103" s="1557" t="s">
        <v>481</v>
      </c>
      <c r="D103" s="1558">
        <v>0</v>
      </c>
      <c r="E103" s="1559">
        <v>6.25E-2</v>
      </c>
      <c r="F103" s="1560">
        <v>0</v>
      </c>
      <c r="G103" s="1560">
        <v>0</v>
      </c>
      <c r="H103" s="1560">
        <v>6.25E-2</v>
      </c>
      <c r="I103" s="1560">
        <v>0</v>
      </c>
    </row>
    <row r="104" spans="1:9">
      <c r="A104" s="1556" t="s">
        <v>630</v>
      </c>
      <c r="B104" s="1556" t="s">
        <v>542</v>
      </c>
      <c r="C104" s="1557" t="s">
        <v>481</v>
      </c>
      <c r="D104" s="1558">
        <v>0</v>
      </c>
      <c r="E104" s="1559">
        <v>6.25E-2</v>
      </c>
      <c r="F104" s="1560">
        <v>0</v>
      </c>
      <c r="G104" s="1560">
        <v>3.8000000000000004E-3</v>
      </c>
      <c r="H104" s="1560">
        <v>6.7794701467179447E-2</v>
      </c>
      <c r="I104" s="1560">
        <v>5.294701467179452E-3</v>
      </c>
    </row>
    <row r="105" spans="1:9">
      <c r="A105" s="1556" t="s">
        <v>631</v>
      </c>
      <c r="B105" s="1556" t="s">
        <v>537</v>
      </c>
      <c r="C105" s="1557" t="s">
        <v>479</v>
      </c>
      <c r="D105" s="1558">
        <v>6.0999999999999999E-2</v>
      </c>
      <c r="E105" s="1559">
        <v>0.14749389197314383</v>
      </c>
      <c r="F105" s="1560">
        <v>8.4993891973143817E-2</v>
      </c>
      <c r="G105" s="1560" t="s">
        <v>466</v>
      </c>
      <c r="H105" s="1560" t="s">
        <v>466</v>
      </c>
      <c r="I105" s="1560" t="s">
        <v>466</v>
      </c>
    </row>
    <row r="106" spans="1:9">
      <c r="A106" s="1556" t="s">
        <v>632</v>
      </c>
      <c r="B106" s="1556" t="s">
        <v>536</v>
      </c>
      <c r="C106" s="1557" t="s">
        <v>475</v>
      </c>
      <c r="D106" s="1558">
        <v>3.9899999999999998E-2</v>
      </c>
      <c r="E106" s="1559">
        <v>0.11809436540538423</v>
      </c>
      <c r="F106" s="1560">
        <v>5.5594365405384233E-2</v>
      </c>
      <c r="G106" s="1560" t="s">
        <v>466</v>
      </c>
      <c r="H106" s="1560" t="s">
        <v>466</v>
      </c>
      <c r="I106" s="1560" t="s">
        <v>466</v>
      </c>
    </row>
    <row r="107" spans="1:9">
      <c r="A107" s="1556" t="s">
        <v>633</v>
      </c>
      <c r="B107" s="1556" t="s">
        <v>534</v>
      </c>
      <c r="C107" s="1557" t="s">
        <v>481</v>
      </c>
      <c r="D107" s="1558">
        <v>0</v>
      </c>
      <c r="E107" s="1559">
        <v>6.25E-2</v>
      </c>
      <c r="F107" s="1560">
        <v>0</v>
      </c>
      <c r="G107" s="1560">
        <v>0</v>
      </c>
      <c r="H107" s="1560">
        <v>6.25E-2</v>
      </c>
      <c r="I107" s="1560">
        <v>0</v>
      </c>
    </row>
    <row r="108" spans="1:9">
      <c r="A108" s="1556" t="s">
        <v>634</v>
      </c>
      <c r="B108" s="1556" t="s">
        <v>530</v>
      </c>
      <c r="C108" s="1557" t="s">
        <v>487</v>
      </c>
      <c r="D108" s="1558">
        <v>7.7999999999999996E-3</v>
      </c>
      <c r="E108" s="1559">
        <v>7.3368071432631507E-2</v>
      </c>
      <c r="F108" s="1560">
        <v>1.0868071432631505E-2</v>
      </c>
      <c r="G108" s="1560" t="s">
        <v>466</v>
      </c>
      <c r="H108" s="1560" t="s">
        <v>466</v>
      </c>
      <c r="I108" s="1560" t="s">
        <v>466</v>
      </c>
    </row>
    <row r="109" spans="1:9">
      <c r="A109" s="1556" t="s">
        <v>635</v>
      </c>
      <c r="B109" s="1556" t="s">
        <v>548</v>
      </c>
      <c r="C109" s="1557" t="s">
        <v>478</v>
      </c>
      <c r="D109" s="1558">
        <v>7.2099999999999997E-2</v>
      </c>
      <c r="E109" s="1559">
        <v>0.16295999362727326</v>
      </c>
      <c r="F109" s="1560">
        <v>0.10045999362727327</v>
      </c>
      <c r="G109" s="1560">
        <v>5.5300000000000002E-2</v>
      </c>
      <c r="H109" s="1560">
        <v>0.13955183977237465</v>
      </c>
      <c r="I109" s="1560">
        <v>7.7051839772374647E-2</v>
      </c>
    </row>
    <row r="110" spans="1:9">
      <c r="A110" s="1556" t="s">
        <v>636</v>
      </c>
      <c r="B110" s="1556" t="s">
        <v>537</v>
      </c>
      <c r="C110" s="1557" t="s">
        <v>473</v>
      </c>
      <c r="D110" s="1558">
        <v>2.1100000000000001E-2</v>
      </c>
      <c r="E110" s="1559">
        <v>9.1899526567759585E-2</v>
      </c>
      <c r="F110" s="1560">
        <v>2.9399526567759585E-2</v>
      </c>
      <c r="G110" s="1560">
        <v>1.9400000000000001E-2</v>
      </c>
      <c r="H110" s="1560">
        <v>8.9530844332442461E-2</v>
      </c>
      <c r="I110" s="1560">
        <v>2.7030844332442461E-2</v>
      </c>
    </row>
    <row r="111" spans="1:9">
      <c r="A111" s="1556" t="s">
        <v>637</v>
      </c>
      <c r="B111" s="1556" t="s">
        <v>548</v>
      </c>
      <c r="C111" s="1557" t="s">
        <v>480</v>
      </c>
      <c r="D111" s="1558">
        <v>4.99E-2</v>
      </c>
      <c r="E111" s="1559">
        <v>0.13202779031901438</v>
      </c>
      <c r="F111" s="1560">
        <v>6.9527790319014376E-2</v>
      </c>
      <c r="G111" s="1560" t="s">
        <v>466</v>
      </c>
      <c r="H111" s="1560" t="s">
        <v>466</v>
      </c>
      <c r="I111" s="1560" t="s">
        <v>466</v>
      </c>
    </row>
    <row r="112" spans="1:9">
      <c r="A112" s="1556" t="s">
        <v>638</v>
      </c>
      <c r="B112" s="1556" t="s">
        <v>537</v>
      </c>
      <c r="C112" s="1557" t="s">
        <v>477</v>
      </c>
      <c r="D112" s="1558">
        <v>2.7699999999999999E-2</v>
      </c>
      <c r="E112" s="1559">
        <v>0.10109558701075547</v>
      </c>
      <c r="F112" s="1560">
        <v>3.8595587010755474E-2</v>
      </c>
      <c r="G112" s="1560" t="s">
        <v>466</v>
      </c>
      <c r="H112" s="1560" t="s">
        <v>466</v>
      </c>
      <c r="I112" s="1560" t="s">
        <v>466</v>
      </c>
    </row>
    <row r="113" spans="1:9" ht="15">
      <c r="A113" s="1564" t="s">
        <v>639</v>
      </c>
      <c r="B113" s="1564" t="s">
        <v>537</v>
      </c>
      <c r="C113" s="1565" t="s">
        <v>485</v>
      </c>
      <c r="D113" s="1566">
        <v>1.3299999999999999E-2</v>
      </c>
      <c r="E113" s="1567">
        <v>8.1031455135128078E-2</v>
      </c>
      <c r="F113" s="1568">
        <v>1.8531455135128078E-2</v>
      </c>
      <c r="G113" s="1568">
        <v>2.06E-2</v>
      </c>
      <c r="H113" s="1568">
        <v>9.1202855322078086E-2</v>
      </c>
      <c r="I113" s="1568">
        <v>2.87028553220781E-2</v>
      </c>
    </row>
    <row r="114" spans="1:9">
      <c r="A114" s="1556" t="s">
        <v>640</v>
      </c>
      <c r="B114" s="1556" t="s">
        <v>548</v>
      </c>
      <c r="C114" s="1557" t="s">
        <v>473</v>
      </c>
      <c r="D114" s="1558">
        <v>2.1100000000000001E-2</v>
      </c>
      <c r="E114" s="1559">
        <v>9.1899526567759585E-2</v>
      </c>
      <c r="F114" s="1560">
        <v>2.9399526567759585E-2</v>
      </c>
      <c r="G114" s="1560">
        <v>1.3399999999999999E-2</v>
      </c>
      <c r="H114" s="1560">
        <v>8.1170789384264377E-2</v>
      </c>
      <c r="I114" s="1560">
        <v>1.8670789384264377E-2</v>
      </c>
    </row>
    <row r="115" spans="1:9">
      <c r="A115" s="1556" t="s">
        <v>641</v>
      </c>
      <c r="B115" s="1556" t="s">
        <v>532</v>
      </c>
      <c r="C115" s="1557" t="s">
        <v>486</v>
      </c>
      <c r="D115" s="1558">
        <v>9.4000000000000004E-3</v>
      </c>
      <c r="E115" s="1559">
        <v>7.5597419418812331E-2</v>
      </c>
      <c r="F115" s="1560">
        <v>1.3097419418812328E-2</v>
      </c>
      <c r="G115" s="1560">
        <v>8.3000000000000018E-3</v>
      </c>
      <c r="H115" s="1560">
        <v>7.406474267831302E-2</v>
      </c>
      <c r="I115" s="1560">
        <v>1.1564742678313015E-2</v>
      </c>
    </row>
    <row r="116" spans="1:9">
      <c r="A116" s="1556" t="s">
        <v>642</v>
      </c>
      <c r="B116" s="1556" t="s">
        <v>534</v>
      </c>
      <c r="C116" s="1557" t="s">
        <v>477</v>
      </c>
      <c r="D116" s="1558">
        <v>2.7699999999999999E-2</v>
      </c>
      <c r="E116" s="1559">
        <v>0.10109558701075547</v>
      </c>
      <c r="F116" s="1560">
        <v>3.8595587010755474E-2</v>
      </c>
      <c r="G116" s="1560">
        <v>2.0500000000000001E-2</v>
      </c>
      <c r="H116" s="1560">
        <v>9.1063521072941772E-2</v>
      </c>
      <c r="I116" s="1560">
        <v>2.8563521072941776E-2</v>
      </c>
    </row>
    <row r="117" spans="1:9">
      <c r="A117" s="1556" t="s">
        <v>643</v>
      </c>
      <c r="B117" s="1556" t="s">
        <v>530</v>
      </c>
      <c r="C117" s="1557" t="s">
        <v>483</v>
      </c>
      <c r="D117" s="1558">
        <v>5.4999999999999997E-3</v>
      </c>
      <c r="E117" s="1559">
        <v>7.0163383702496571E-2</v>
      </c>
      <c r="F117" s="1560">
        <v>7.6633837024965732E-3</v>
      </c>
      <c r="G117" s="1560">
        <v>9.2999999999999992E-3</v>
      </c>
      <c r="H117" s="1560">
        <v>7.5458085169676031E-2</v>
      </c>
      <c r="I117" s="1560">
        <v>1.2958085169676024E-2</v>
      </c>
    </row>
    <row r="118" spans="1:9">
      <c r="A118" s="1556" t="s">
        <v>644</v>
      </c>
      <c r="B118" s="1556" t="s">
        <v>530</v>
      </c>
      <c r="C118" s="1557" t="s">
        <v>486</v>
      </c>
      <c r="D118" s="1558">
        <v>9.4000000000000004E-3</v>
      </c>
      <c r="E118" s="1559">
        <v>7.5597419418812331E-2</v>
      </c>
      <c r="F118" s="1560">
        <v>1.3097419418812328E-2</v>
      </c>
      <c r="G118" s="1560" t="s">
        <v>466</v>
      </c>
      <c r="H118" s="1560" t="s">
        <v>466</v>
      </c>
      <c r="I118" s="1560" t="s">
        <v>466</v>
      </c>
    </row>
    <row r="119" spans="1:9">
      <c r="A119" s="1556" t="s">
        <v>645</v>
      </c>
      <c r="B119" s="1556" t="s">
        <v>532</v>
      </c>
      <c r="C119" s="1557" t="s">
        <v>472</v>
      </c>
      <c r="D119" s="1558">
        <v>2.4400000000000002E-2</v>
      </c>
      <c r="E119" s="1559">
        <v>9.6497556789257533E-2</v>
      </c>
      <c r="F119" s="1560">
        <v>3.3997556789257533E-2</v>
      </c>
      <c r="G119" s="1560">
        <v>1.3499999999999998E-2</v>
      </c>
      <c r="H119" s="1560">
        <v>8.1310123633400677E-2</v>
      </c>
      <c r="I119" s="1560">
        <v>1.8810123633400681E-2</v>
      </c>
    </row>
    <row r="120" spans="1:9">
      <c r="A120" s="1556" t="s">
        <v>646</v>
      </c>
      <c r="B120" s="1556" t="s">
        <v>532</v>
      </c>
      <c r="C120" s="1557" t="s">
        <v>477</v>
      </c>
      <c r="D120" s="1558">
        <v>2.7699999999999999E-2</v>
      </c>
      <c r="E120" s="1559">
        <v>0.10109558701075547</v>
      </c>
      <c r="F120" s="1560">
        <v>3.8595587010755474E-2</v>
      </c>
      <c r="G120" s="1560">
        <v>3.0899999999999997E-2</v>
      </c>
      <c r="H120" s="1560">
        <v>0.10555428298311711</v>
      </c>
      <c r="I120" s="1560">
        <v>4.3054282983117115E-2</v>
      </c>
    </row>
    <row r="121" spans="1:9">
      <c r="A121" s="1556" t="s">
        <v>647</v>
      </c>
      <c r="B121" s="1556" t="s">
        <v>536</v>
      </c>
      <c r="C121" s="1557" t="s">
        <v>480</v>
      </c>
      <c r="D121" s="1558">
        <v>4.99E-2</v>
      </c>
      <c r="E121" s="1559">
        <v>0.13202779031901438</v>
      </c>
      <c r="F121" s="1560">
        <v>6.9527790319014376E-2</v>
      </c>
      <c r="G121" s="1560" t="s">
        <v>466</v>
      </c>
      <c r="H121" s="1560" t="s">
        <v>466</v>
      </c>
      <c r="I121" s="1560" t="s">
        <v>466</v>
      </c>
    </row>
    <row r="122" spans="1:9">
      <c r="A122" s="1556" t="s">
        <v>648</v>
      </c>
      <c r="B122" s="1556" t="s">
        <v>530</v>
      </c>
      <c r="C122" s="1557" t="s">
        <v>482</v>
      </c>
      <c r="D122" s="1558">
        <v>6.7000000000000002E-3</v>
      </c>
      <c r="E122" s="1559">
        <v>7.1835394692132196E-2</v>
      </c>
      <c r="F122" s="1560">
        <v>9.3353946921321904E-3</v>
      </c>
      <c r="G122" s="1560">
        <v>1.54E-2</v>
      </c>
      <c r="H122" s="1560">
        <v>8.3957474366990414E-2</v>
      </c>
      <c r="I122" s="1560">
        <v>2.1457474366990407E-2</v>
      </c>
    </row>
    <row r="123" spans="1:9">
      <c r="A123" s="1556" t="s">
        <v>649</v>
      </c>
      <c r="B123" s="1556" t="s">
        <v>536</v>
      </c>
      <c r="C123" s="1557" t="s">
        <v>480</v>
      </c>
      <c r="D123" s="1558">
        <v>4.99E-2</v>
      </c>
      <c r="E123" s="1559">
        <v>0.13202779031901438</v>
      </c>
      <c r="F123" s="1560">
        <v>6.9527790319014376E-2</v>
      </c>
      <c r="G123" s="1560" t="s">
        <v>466</v>
      </c>
      <c r="H123" s="1560" t="s">
        <v>466</v>
      </c>
      <c r="I123" s="1560" t="s">
        <v>466</v>
      </c>
    </row>
    <row r="124" spans="1:9">
      <c r="A124" s="1556" t="s">
        <v>650</v>
      </c>
      <c r="B124" s="1556" t="s">
        <v>532</v>
      </c>
      <c r="C124" s="1557" t="s">
        <v>480</v>
      </c>
      <c r="D124" s="1558">
        <v>4.99E-2</v>
      </c>
      <c r="E124" s="1559">
        <v>0.13202779031901438</v>
      </c>
      <c r="F124" s="1560">
        <v>6.9527790319014376E-2</v>
      </c>
      <c r="G124" s="1560" t="s">
        <v>466</v>
      </c>
      <c r="H124" s="1560" t="s">
        <v>466</v>
      </c>
      <c r="I124" s="1560" t="s">
        <v>466</v>
      </c>
    </row>
    <row r="125" spans="1:9">
      <c r="A125" s="1556" t="s">
        <v>651</v>
      </c>
      <c r="B125" s="1556" t="s">
        <v>530</v>
      </c>
      <c r="C125" s="1557" t="s">
        <v>485</v>
      </c>
      <c r="D125" s="1558">
        <v>1.3299999999999999E-2</v>
      </c>
      <c r="E125" s="1559">
        <v>8.1031455135128078E-2</v>
      </c>
      <c r="F125" s="1560">
        <v>1.8531455135128078E-2</v>
      </c>
      <c r="G125" s="1560" t="s">
        <v>466</v>
      </c>
      <c r="H125" s="1560" t="s">
        <v>466</v>
      </c>
      <c r="I125" s="1560" t="s">
        <v>466</v>
      </c>
    </row>
    <row r="126" spans="1:9">
      <c r="A126" s="1556" t="s">
        <v>652</v>
      </c>
      <c r="B126" s="1556" t="s">
        <v>548</v>
      </c>
      <c r="C126" s="1557" t="s">
        <v>481</v>
      </c>
      <c r="D126" s="1558">
        <v>0</v>
      </c>
      <c r="E126" s="1559">
        <v>6.25E-2</v>
      </c>
      <c r="F126" s="1560">
        <v>0</v>
      </c>
      <c r="G126" s="1560" t="s">
        <v>466</v>
      </c>
      <c r="H126" s="1560" t="s">
        <v>466</v>
      </c>
      <c r="I126" s="1560" t="s">
        <v>466</v>
      </c>
    </row>
    <row r="127" spans="1:9">
      <c r="A127" s="1556" t="s">
        <v>653</v>
      </c>
      <c r="B127" s="1556" t="s">
        <v>532</v>
      </c>
      <c r="C127" s="1557" t="s">
        <v>486</v>
      </c>
      <c r="D127" s="1558">
        <v>9.4000000000000004E-3</v>
      </c>
      <c r="E127" s="1559">
        <v>7.5597419418812331E-2</v>
      </c>
      <c r="F127" s="1560">
        <v>1.3097419418812328E-2</v>
      </c>
      <c r="G127" s="1560">
        <v>5.5000000000000005E-3</v>
      </c>
      <c r="H127" s="1560">
        <v>7.0163383702496571E-2</v>
      </c>
      <c r="I127" s="1560">
        <v>7.663383702496575E-3</v>
      </c>
    </row>
    <row r="128" spans="1:9">
      <c r="A128" s="1556" t="s">
        <v>654</v>
      </c>
      <c r="B128" s="1556" t="s">
        <v>532</v>
      </c>
      <c r="C128" s="1557" t="s">
        <v>472</v>
      </c>
      <c r="D128" s="1558">
        <v>2.4400000000000002E-2</v>
      </c>
      <c r="E128" s="1559">
        <v>9.6497556789257533E-2</v>
      </c>
      <c r="F128" s="1560">
        <v>3.3997556789257533E-2</v>
      </c>
      <c r="G128" s="1560">
        <v>1.2899999999999998E-2</v>
      </c>
      <c r="H128" s="1560">
        <v>8.0474118138582879E-2</v>
      </c>
      <c r="I128" s="1560">
        <v>1.7974118138582872E-2</v>
      </c>
    </row>
    <row r="129" spans="1:9">
      <c r="A129" s="1556" t="s">
        <v>655</v>
      </c>
      <c r="B129" s="1556" t="s">
        <v>536</v>
      </c>
      <c r="C129" s="1557" t="s">
        <v>473</v>
      </c>
      <c r="D129" s="1558">
        <v>2.1100000000000001E-2</v>
      </c>
      <c r="E129" s="1559">
        <v>9.1899526567759585E-2</v>
      </c>
      <c r="F129" s="1560">
        <v>2.9399526567759585E-2</v>
      </c>
      <c r="G129" s="1560">
        <v>3.49E-2</v>
      </c>
      <c r="H129" s="1560">
        <v>0.11112765294856916</v>
      </c>
      <c r="I129" s="1560">
        <v>4.8627652948569168E-2</v>
      </c>
    </row>
    <row r="130" spans="1:9">
      <c r="A130" s="1556" t="s">
        <v>656</v>
      </c>
      <c r="B130" s="1556" t="s">
        <v>534</v>
      </c>
      <c r="C130" s="1557" t="s">
        <v>473</v>
      </c>
      <c r="D130" s="1558">
        <v>2.1100000000000001E-2</v>
      </c>
      <c r="E130" s="1559">
        <v>9.1899526567759585E-2</v>
      </c>
      <c r="F130" s="1560">
        <v>2.9399526567759585E-2</v>
      </c>
      <c r="G130" s="1560">
        <v>1.0499999999999999E-2</v>
      </c>
      <c r="H130" s="1560">
        <v>7.7130096159311642E-2</v>
      </c>
      <c r="I130" s="1560">
        <v>1.4630096159311641E-2</v>
      </c>
    </row>
    <row r="131" spans="1:9">
      <c r="A131" s="1556" t="s">
        <v>657</v>
      </c>
      <c r="B131" s="1556" t="s">
        <v>548</v>
      </c>
      <c r="C131" s="1557" t="s">
        <v>480</v>
      </c>
      <c r="D131" s="1558">
        <v>4.99E-2</v>
      </c>
      <c r="E131" s="1559">
        <v>0.13202779031901438</v>
      </c>
      <c r="F131" s="1560">
        <v>6.9527790319014376E-2</v>
      </c>
      <c r="G131" s="1560" t="s">
        <v>466</v>
      </c>
      <c r="H131" s="1560" t="s">
        <v>466</v>
      </c>
      <c r="I131" s="1560" t="s">
        <v>466</v>
      </c>
    </row>
    <row r="132" spans="1:9">
      <c r="A132" s="1556" t="s">
        <v>658</v>
      </c>
      <c r="B132" s="1556" t="s">
        <v>540</v>
      </c>
      <c r="C132" s="1557" t="s">
        <v>474</v>
      </c>
      <c r="D132" s="1558">
        <v>1.77E-2</v>
      </c>
      <c r="E132" s="1559">
        <v>8.7162162097125337E-2</v>
      </c>
      <c r="F132" s="1560">
        <v>2.466216209712534E-2</v>
      </c>
      <c r="G132" s="1560" t="s">
        <v>466</v>
      </c>
      <c r="H132" s="1560" t="s">
        <v>466</v>
      </c>
      <c r="I132" s="1560" t="s">
        <v>466</v>
      </c>
    </row>
    <row r="133" spans="1:9">
      <c r="A133" s="1556" t="s">
        <v>659</v>
      </c>
      <c r="B133" s="1556" t="s">
        <v>540</v>
      </c>
      <c r="C133" s="1557" t="s">
        <v>478</v>
      </c>
      <c r="D133" s="1558">
        <v>7.2099999999999997E-2</v>
      </c>
      <c r="E133" s="1559">
        <v>0.16295999362727326</v>
      </c>
      <c r="F133" s="1560">
        <v>0.10045999362727327</v>
      </c>
      <c r="G133" s="1560" t="s">
        <v>466</v>
      </c>
      <c r="H133" s="1560" t="s">
        <v>466</v>
      </c>
      <c r="I133" s="1560" t="s">
        <v>466</v>
      </c>
    </row>
    <row r="134" spans="1:9">
      <c r="A134" s="1556" t="s">
        <v>660</v>
      </c>
      <c r="B134" s="1556" t="s">
        <v>537</v>
      </c>
      <c r="C134" s="1557" t="s">
        <v>475</v>
      </c>
      <c r="D134" s="1558">
        <v>3.9899999999999998E-2</v>
      </c>
      <c r="E134" s="1559">
        <v>0.11809436540538423</v>
      </c>
      <c r="F134" s="1560">
        <v>5.5594365405384233E-2</v>
      </c>
      <c r="G134" s="1560" t="s">
        <v>466</v>
      </c>
      <c r="H134" s="1560" t="s">
        <v>466</v>
      </c>
      <c r="I134" s="1560" t="s">
        <v>466</v>
      </c>
    </row>
    <row r="135" spans="1:9">
      <c r="A135" s="1556" t="s">
        <v>661</v>
      </c>
      <c r="B135" s="1556" t="s">
        <v>534</v>
      </c>
      <c r="C135" s="1557" t="s">
        <v>481</v>
      </c>
      <c r="D135" s="1558">
        <v>0</v>
      </c>
      <c r="E135" s="1559">
        <v>6.25E-2</v>
      </c>
      <c r="F135" s="1560">
        <v>0</v>
      </c>
      <c r="G135" s="1560">
        <v>0</v>
      </c>
      <c r="H135" s="1560">
        <v>6.25E-2</v>
      </c>
      <c r="I135" s="1560">
        <v>0</v>
      </c>
    </row>
    <row r="136" spans="1:9">
      <c r="A136" s="1556" t="s">
        <v>662</v>
      </c>
      <c r="B136" s="1556" t="s">
        <v>534</v>
      </c>
      <c r="C136" s="1557" t="s">
        <v>481</v>
      </c>
      <c r="D136" s="1558">
        <v>0</v>
      </c>
      <c r="E136" s="1559">
        <v>6.25E-2</v>
      </c>
      <c r="F136" s="1560">
        <v>0</v>
      </c>
      <c r="G136" s="1560">
        <v>2.9999999999999992E-4</v>
      </c>
      <c r="H136" s="1560">
        <v>6.2918002747408899E-2</v>
      </c>
      <c r="I136" s="1560">
        <v>4.1800274740890392E-4</v>
      </c>
    </row>
    <row r="137" spans="1:9">
      <c r="A137" s="1556" t="s">
        <v>663</v>
      </c>
      <c r="B137" s="1556" t="s">
        <v>548</v>
      </c>
      <c r="C137" s="1557" t="s">
        <v>482</v>
      </c>
      <c r="D137" s="1558">
        <v>6.7000000000000002E-3</v>
      </c>
      <c r="E137" s="1559">
        <v>7.1835394692132196E-2</v>
      </c>
      <c r="F137" s="1560">
        <v>9.3353946921321904E-3</v>
      </c>
      <c r="G137" s="1560" t="s">
        <v>466</v>
      </c>
      <c r="H137" s="1560" t="s">
        <v>466</v>
      </c>
      <c r="I137" s="1560" t="s">
        <v>466</v>
      </c>
    </row>
    <row r="138" spans="1:9">
      <c r="A138" s="1556" t="s">
        <v>664</v>
      </c>
      <c r="B138" s="1556" t="s">
        <v>548</v>
      </c>
      <c r="C138" s="1557" t="s">
        <v>474</v>
      </c>
      <c r="D138" s="1558">
        <v>1.77E-2</v>
      </c>
      <c r="E138" s="1559">
        <v>8.7162162097125337E-2</v>
      </c>
      <c r="F138" s="1560">
        <v>2.466216209712534E-2</v>
      </c>
      <c r="G138" s="1560">
        <v>1.61E-2</v>
      </c>
      <c r="H138" s="1560">
        <v>8.4932814110944513E-2</v>
      </c>
      <c r="I138" s="1560">
        <v>2.2432814110944516E-2</v>
      </c>
    </row>
    <row r="139" spans="1:9">
      <c r="A139" s="1556" t="s">
        <v>665</v>
      </c>
      <c r="B139" s="1556" t="s">
        <v>540</v>
      </c>
      <c r="C139" s="1557" t="s">
        <v>473</v>
      </c>
      <c r="D139" s="1558">
        <v>2.1100000000000001E-2</v>
      </c>
      <c r="E139" s="1559">
        <v>9.1899526567759585E-2</v>
      </c>
      <c r="F139" s="1560">
        <v>2.9399526567759585E-2</v>
      </c>
      <c r="G139" s="1560" t="s">
        <v>466</v>
      </c>
      <c r="H139" s="1560" t="s">
        <v>466</v>
      </c>
      <c r="I139" s="1560" t="s">
        <v>466</v>
      </c>
    </row>
    <row r="140" spans="1:9">
      <c r="A140" s="1556" t="s">
        <v>666</v>
      </c>
      <c r="B140" s="1556" t="s">
        <v>536</v>
      </c>
      <c r="C140" s="1557" t="s">
        <v>475</v>
      </c>
      <c r="D140" s="1558">
        <v>3.9899999999999998E-2</v>
      </c>
      <c r="E140" s="1559">
        <v>0.11809436540538423</v>
      </c>
      <c r="F140" s="1560">
        <v>5.5594365405384233E-2</v>
      </c>
      <c r="G140" s="1560">
        <v>4.19E-2</v>
      </c>
      <c r="H140" s="1560">
        <v>0.12088105038811026</v>
      </c>
      <c r="I140" s="1560">
        <v>5.8381050388110263E-2</v>
      </c>
    </row>
    <row r="141" spans="1:9">
      <c r="A141" s="1556" t="s">
        <v>667</v>
      </c>
      <c r="B141" s="1556" t="s">
        <v>534</v>
      </c>
      <c r="C141" s="1557" t="s">
        <v>472</v>
      </c>
      <c r="D141" s="1558">
        <v>2.4400000000000002E-2</v>
      </c>
      <c r="E141" s="1559">
        <v>9.6497556789257533E-2</v>
      </c>
      <c r="F141" s="1560">
        <v>3.3997556789257533E-2</v>
      </c>
      <c r="G141" s="1560">
        <v>2.8999999999999998E-2</v>
      </c>
      <c r="H141" s="1560">
        <v>0.10290693224952738</v>
      </c>
      <c r="I141" s="1560">
        <v>4.0406932249527384E-2</v>
      </c>
    </row>
    <row r="142" spans="1:9">
      <c r="A142" s="1556" t="s">
        <v>668</v>
      </c>
      <c r="B142" s="1556" t="s">
        <v>540</v>
      </c>
      <c r="C142" s="1557" t="s">
        <v>474</v>
      </c>
      <c r="D142" s="1558">
        <v>1.77E-2</v>
      </c>
      <c r="E142" s="1559">
        <v>8.7162162097125337E-2</v>
      </c>
      <c r="F142" s="1560">
        <v>2.466216209712534E-2</v>
      </c>
      <c r="G142" s="1560" t="s">
        <v>466</v>
      </c>
      <c r="H142" s="1560" t="s">
        <v>466</v>
      </c>
      <c r="I142" s="1560" t="s">
        <v>466</v>
      </c>
    </row>
    <row r="143" spans="1:9">
      <c r="A143" s="1556" t="s">
        <v>669</v>
      </c>
      <c r="B143" s="1556" t="s">
        <v>536</v>
      </c>
      <c r="C143" s="1557" t="s">
        <v>480</v>
      </c>
      <c r="D143" s="1558">
        <v>4.99E-2</v>
      </c>
      <c r="E143" s="1559">
        <v>0.13202779031901438</v>
      </c>
      <c r="F143" s="1560">
        <v>6.9527790319014376E-2</v>
      </c>
      <c r="G143" s="1560" t="s">
        <v>466</v>
      </c>
      <c r="H143" s="1560" t="s">
        <v>466</v>
      </c>
      <c r="I143" s="1560" t="s">
        <v>466</v>
      </c>
    </row>
    <row r="144" spans="1:9">
      <c r="A144" s="1556" t="s">
        <v>670</v>
      </c>
      <c r="B144" s="1556" t="s">
        <v>532</v>
      </c>
      <c r="C144" s="1557" t="s">
        <v>468</v>
      </c>
      <c r="D144" s="1558">
        <v>0.1108</v>
      </c>
      <c r="E144" s="1559">
        <v>0.21688234804302189</v>
      </c>
      <c r="F144" s="1560">
        <v>0.15438234804302189</v>
      </c>
      <c r="G144" s="1560" t="s">
        <v>466</v>
      </c>
      <c r="H144" s="1560" t="s">
        <v>466</v>
      </c>
      <c r="I144" s="1560" t="s">
        <v>466</v>
      </c>
    </row>
    <row r="145" spans="1:9">
      <c r="A145" s="1556" t="s">
        <v>671</v>
      </c>
      <c r="B145" s="1556" t="s">
        <v>530</v>
      </c>
      <c r="C145" s="1557" t="s">
        <v>483</v>
      </c>
      <c r="D145" s="1558">
        <v>5.4999999999999997E-3</v>
      </c>
      <c r="E145" s="1559">
        <v>7.0163383702496571E-2</v>
      </c>
      <c r="F145" s="1560">
        <v>7.6633837024965732E-3</v>
      </c>
      <c r="G145" s="1560" t="s">
        <v>466</v>
      </c>
      <c r="H145" s="1560" t="s">
        <v>466</v>
      </c>
      <c r="I145" s="1560" t="s">
        <v>466</v>
      </c>
    </row>
    <row r="146" spans="1:9">
      <c r="A146" s="1556" t="s">
        <v>672</v>
      </c>
      <c r="B146" s="1556" t="s">
        <v>534</v>
      </c>
      <c r="C146" s="1557" t="s">
        <v>484</v>
      </c>
      <c r="D146" s="1558">
        <v>4.4000000000000003E-3</v>
      </c>
      <c r="E146" s="1559">
        <v>6.8630706961997259E-2</v>
      </c>
      <c r="F146" s="1560">
        <v>6.1307069619972593E-3</v>
      </c>
      <c r="G146" s="1560">
        <v>2.9999999999999992E-4</v>
      </c>
      <c r="H146" s="1560">
        <v>6.2918002747408899E-2</v>
      </c>
      <c r="I146" s="1560">
        <v>4.1800274740890392E-4</v>
      </c>
    </row>
    <row r="147" spans="1:9">
      <c r="A147" s="1556" t="s">
        <v>673</v>
      </c>
      <c r="B147" s="1556" t="s">
        <v>563</v>
      </c>
      <c r="C147" s="1557" t="s">
        <v>481</v>
      </c>
      <c r="D147" s="1558">
        <v>0</v>
      </c>
      <c r="E147" s="1559">
        <v>6.25E-2</v>
      </c>
      <c r="F147" s="1560">
        <v>0</v>
      </c>
      <c r="G147" s="1560">
        <v>0</v>
      </c>
      <c r="H147" s="1560">
        <v>6.25E-2</v>
      </c>
      <c r="I147" s="1560">
        <v>0</v>
      </c>
    </row>
    <row r="148" spans="1:9">
      <c r="A148" s="1556" t="s">
        <v>674</v>
      </c>
      <c r="B148" s="1556" t="s">
        <v>537</v>
      </c>
      <c r="C148" s="1557" t="s">
        <v>473</v>
      </c>
      <c r="D148" s="1558">
        <v>2.1100000000000001E-2</v>
      </c>
      <c r="E148" s="1559">
        <v>9.1899526567759585E-2</v>
      </c>
      <c r="F148" s="1560">
        <v>2.9399526567759585E-2</v>
      </c>
      <c r="G148" s="1560" t="s">
        <v>466</v>
      </c>
      <c r="H148" s="1560" t="s">
        <v>466</v>
      </c>
      <c r="I148" s="1560" t="s">
        <v>466</v>
      </c>
    </row>
    <row r="149" spans="1:9">
      <c r="A149" s="1556" t="s">
        <v>208</v>
      </c>
      <c r="B149" s="1556" t="s">
        <v>537</v>
      </c>
      <c r="C149" s="1557" t="s">
        <v>468</v>
      </c>
      <c r="D149" s="1558">
        <v>0.1108</v>
      </c>
      <c r="E149" s="1559">
        <v>0.21688234804302189</v>
      </c>
      <c r="F149" s="1560">
        <v>0.15438234804302189</v>
      </c>
      <c r="G149" s="1560" t="s">
        <v>466</v>
      </c>
      <c r="H149" s="1560" t="s">
        <v>466</v>
      </c>
      <c r="I149" s="1560" t="s">
        <v>466</v>
      </c>
    </row>
    <row r="150" spans="1:9">
      <c r="A150" s="1556" t="s">
        <v>675</v>
      </c>
      <c r="B150" s="1556" t="s">
        <v>548</v>
      </c>
      <c r="C150" s="1557" t="s">
        <v>480</v>
      </c>
      <c r="D150" s="1558">
        <v>4.99E-2</v>
      </c>
      <c r="E150" s="1559">
        <v>0.13202779031901438</v>
      </c>
      <c r="F150" s="1560">
        <v>6.9527790319014376E-2</v>
      </c>
      <c r="G150" s="1560">
        <v>3.1399999999999997E-2</v>
      </c>
      <c r="H150" s="1560">
        <v>0.10625095422879863</v>
      </c>
      <c r="I150" s="1560">
        <v>4.3750954228798621E-2</v>
      </c>
    </row>
    <row r="151" spans="1:9">
      <c r="A151" s="1556" t="s">
        <v>676</v>
      </c>
      <c r="B151" s="1556" t="s">
        <v>536</v>
      </c>
      <c r="C151" s="1557" t="s">
        <v>479</v>
      </c>
      <c r="D151" s="1558">
        <v>6.0999999999999999E-2</v>
      </c>
      <c r="E151" s="1559">
        <v>0.14749389197314383</v>
      </c>
      <c r="F151" s="1560">
        <v>8.4993891973143817E-2</v>
      </c>
      <c r="G151" s="1560" t="s">
        <v>466</v>
      </c>
      <c r="H151" s="1560" t="s">
        <v>466</v>
      </c>
      <c r="I151" s="1560" t="s">
        <v>466</v>
      </c>
    </row>
    <row r="153" spans="1:9">
      <c r="A153" s="1551"/>
      <c r="B153" s="1556"/>
      <c r="C153" s="1557"/>
      <c r="D153" s="1569"/>
      <c r="E153" s="1570"/>
      <c r="F153" s="1571"/>
      <c r="G153" s="1571"/>
      <c r="H153" s="1571"/>
      <c r="I153" s="1571"/>
    </row>
    <row r="154" spans="1:9">
      <c r="A154" s="1551"/>
      <c r="B154" s="1556"/>
      <c r="C154" s="1557"/>
      <c r="D154" s="1569"/>
      <c r="E154" s="1570"/>
      <c r="F154" s="1571"/>
      <c r="G154" s="1571"/>
      <c r="H154" s="1571"/>
      <c r="I154" s="1571"/>
    </row>
    <row r="155" spans="1:9" ht="15">
      <c r="A155" s="1572" t="s">
        <v>517</v>
      </c>
      <c r="B155" s="1573"/>
      <c r="C155" s="1574"/>
      <c r="D155" s="1569"/>
      <c r="E155" s="1570"/>
      <c r="F155" s="1571"/>
      <c r="G155" s="1571"/>
      <c r="H155" s="1571"/>
      <c r="I155" s="1571"/>
    </row>
    <row r="156" spans="1:9">
      <c r="A156" s="1575"/>
      <c r="B156" s="1576" t="s">
        <v>516</v>
      </c>
      <c r="C156" s="1561" t="s">
        <v>515</v>
      </c>
      <c r="D156" s="1577" t="s">
        <v>514</v>
      </c>
      <c r="E156" s="1570"/>
      <c r="F156" s="1571"/>
      <c r="G156" s="1571"/>
      <c r="H156" s="1571"/>
      <c r="I156" s="1571"/>
    </row>
    <row r="157" spans="1:9">
      <c r="A157" s="1578" t="s">
        <v>513</v>
      </c>
      <c r="B157" s="1579">
        <v>63</v>
      </c>
      <c r="C157" s="1580">
        <v>0.12709999999999999</v>
      </c>
      <c r="D157" s="1559">
        <f t="shared" ref="D157:D181" si="0">C157-$E$3</f>
        <v>6.4599999999999991E-2</v>
      </c>
      <c r="E157" s="1571"/>
      <c r="F157" s="1571"/>
      <c r="G157" s="1571"/>
      <c r="H157" s="1571"/>
    </row>
    <row r="158" spans="1:9">
      <c r="A158" s="1578" t="s">
        <v>512</v>
      </c>
      <c r="B158" s="1579">
        <v>72.8</v>
      </c>
      <c r="C158" s="1560">
        <v>8.8400000000000006E-2</v>
      </c>
      <c r="D158" s="1559">
        <f t="shared" si="0"/>
        <v>2.5900000000000006E-2</v>
      </c>
      <c r="E158" s="1571"/>
      <c r="F158" s="1571"/>
      <c r="G158" s="1571"/>
      <c r="H158" s="1571"/>
    </row>
    <row r="159" spans="1:9">
      <c r="A159" s="1578" t="s">
        <v>511</v>
      </c>
      <c r="B159" s="1579">
        <v>62</v>
      </c>
      <c r="C159" s="1560">
        <v>0.14199999999999999</v>
      </c>
      <c r="D159" s="1559">
        <f t="shared" si="0"/>
        <v>7.9499999999999987E-2</v>
      </c>
      <c r="E159" s="1571"/>
      <c r="F159" s="1571"/>
      <c r="G159" s="1571"/>
      <c r="H159" s="1571"/>
    </row>
    <row r="160" spans="1:9">
      <c r="A160" s="1578" t="s">
        <v>510</v>
      </c>
      <c r="B160" s="1579">
        <v>53.8</v>
      </c>
      <c r="C160" s="1560">
        <v>0.17169999999999999</v>
      </c>
      <c r="D160" s="1559">
        <f t="shared" si="0"/>
        <v>0.10919999999999999</v>
      </c>
      <c r="E160" s="1571"/>
      <c r="F160" s="1571"/>
      <c r="G160" s="1571"/>
      <c r="H160" s="1571"/>
    </row>
    <row r="161" spans="1:8">
      <c r="A161" s="1578" t="s">
        <v>509</v>
      </c>
      <c r="B161" s="1579">
        <v>62.3</v>
      </c>
      <c r="C161" s="1560">
        <v>0.12709999999999999</v>
      </c>
      <c r="D161" s="1559">
        <f t="shared" si="0"/>
        <v>6.4599999999999991E-2</v>
      </c>
      <c r="E161" s="1571"/>
      <c r="F161" s="1571"/>
      <c r="G161" s="1571"/>
      <c r="H161" s="1571"/>
    </row>
    <row r="162" spans="1:8">
      <c r="A162" s="1578" t="s">
        <v>508</v>
      </c>
      <c r="B162" s="1579">
        <v>63.5</v>
      </c>
      <c r="C162" s="1560">
        <v>0.12709999999999999</v>
      </c>
      <c r="D162" s="1559">
        <f t="shared" si="0"/>
        <v>6.4599999999999991E-2</v>
      </c>
      <c r="E162" s="1571"/>
      <c r="F162" s="1571"/>
      <c r="G162" s="1571"/>
      <c r="H162" s="1571"/>
    </row>
    <row r="163" spans="1:8">
      <c r="A163" s="1578" t="s">
        <v>507</v>
      </c>
      <c r="B163" s="1579">
        <v>57</v>
      </c>
      <c r="C163" s="1560">
        <v>0.17169999999999999</v>
      </c>
      <c r="D163" s="1559">
        <f t="shared" si="0"/>
        <v>0.10919999999999999</v>
      </c>
      <c r="E163" s="1571"/>
      <c r="F163" s="1571"/>
      <c r="G163" s="1571"/>
      <c r="H163" s="1571"/>
    </row>
    <row r="164" spans="1:8">
      <c r="A164" s="1578" t="s">
        <v>506</v>
      </c>
      <c r="B164" s="1579">
        <v>67.8</v>
      </c>
      <c r="C164" s="1560">
        <v>0.1048</v>
      </c>
      <c r="D164" s="1559">
        <f t="shared" si="0"/>
        <v>4.2300000000000004E-2</v>
      </c>
      <c r="E164" s="1571"/>
      <c r="F164" s="1571"/>
      <c r="G164" s="1571"/>
      <c r="H164" s="1571"/>
    </row>
    <row r="165" spans="1:8">
      <c r="A165" s="1578" t="s">
        <v>505</v>
      </c>
      <c r="B165" s="1579">
        <v>56</v>
      </c>
      <c r="C165" s="1560">
        <v>0.17169999999999999</v>
      </c>
      <c r="D165" s="1559">
        <f t="shared" si="0"/>
        <v>0.10919999999999999</v>
      </c>
      <c r="E165" s="1571"/>
      <c r="F165" s="1571"/>
      <c r="G165" s="1571"/>
      <c r="H165" s="1571"/>
    </row>
    <row r="166" spans="1:8">
      <c r="A166" s="1578" t="s">
        <v>504</v>
      </c>
      <c r="B166" s="1579">
        <v>56</v>
      </c>
      <c r="C166" s="1560">
        <v>0.17169999999999999</v>
      </c>
      <c r="D166" s="1559">
        <f t="shared" si="0"/>
        <v>0.10919999999999999</v>
      </c>
      <c r="E166" s="1571"/>
      <c r="F166" s="1571"/>
      <c r="G166" s="1571"/>
      <c r="H166" s="1571"/>
    </row>
    <row r="167" spans="1:8">
      <c r="A167" s="1578" t="s">
        <v>503</v>
      </c>
      <c r="B167" s="1579">
        <v>50.5</v>
      </c>
      <c r="C167" s="1560">
        <v>0.17169999999999999</v>
      </c>
      <c r="D167" s="1559">
        <f t="shared" si="0"/>
        <v>0.10919999999999999</v>
      </c>
      <c r="E167" s="1571"/>
      <c r="F167" s="1571"/>
      <c r="G167" s="1571"/>
      <c r="H167" s="1571"/>
    </row>
    <row r="168" spans="1:8">
      <c r="A168" s="1578" t="s">
        <v>502</v>
      </c>
      <c r="B168" s="1579">
        <v>52.8</v>
      </c>
      <c r="C168" s="1560">
        <v>0.17169999999999999</v>
      </c>
      <c r="D168" s="1559">
        <f t="shared" si="0"/>
        <v>0.10919999999999999</v>
      </c>
      <c r="E168" s="1571"/>
      <c r="F168" s="1571"/>
      <c r="G168" s="1571"/>
      <c r="H168" s="1571"/>
    </row>
    <row r="169" spans="1:8">
      <c r="A169" s="1578" t="s">
        <v>501</v>
      </c>
      <c r="B169" s="1579">
        <v>61.3</v>
      </c>
      <c r="C169" s="1560">
        <v>0.14199999999999999</v>
      </c>
      <c r="D169" s="1559">
        <f t="shared" si="0"/>
        <v>7.9499999999999987E-2</v>
      </c>
      <c r="E169" s="1571"/>
      <c r="F169" s="1571"/>
      <c r="G169" s="1571"/>
      <c r="H169" s="1571"/>
    </row>
    <row r="170" spans="1:8">
      <c r="A170" s="1578" t="s">
        <v>500</v>
      </c>
      <c r="B170" s="1579">
        <v>57</v>
      </c>
      <c r="C170" s="1560">
        <v>0.17169999999999999</v>
      </c>
      <c r="D170" s="1559">
        <f t="shared" si="0"/>
        <v>0.10919999999999999</v>
      </c>
      <c r="E170" s="1571"/>
      <c r="F170" s="1571"/>
      <c r="G170" s="1571"/>
      <c r="H170" s="1571"/>
    </row>
    <row r="171" spans="1:8">
      <c r="A171" s="1578" t="s">
        <v>499</v>
      </c>
      <c r="B171" s="1579">
        <v>62.5</v>
      </c>
      <c r="C171" s="1560">
        <v>0.12709999999999999</v>
      </c>
      <c r="D171" s="1559">
        <f t="shared" si="0"/>
        <v>6.4599999999999991E-2</v>
      </c>
      <c r="E171" s="1571"/>
      <c r="F171" s="1571"/>
      <c r="G171" s="1571"/>
      <c r="H171" s="1571"/>
    </row>
    <row r="172" spans="1:8">
      <c r="A172" s="1578" t="s">
        <v>498</v>
      </c>
      <c r="B172" s="1579">
        <v>63.3</v>
      </c>
      <c r="C172" s="1560">
        <v>0.12709999999999999</v>
      </c>
      <c r="D172" s="1559">
        <f t="shared" si="0"/>
        <v>6.4599999999999991E-2</v>
      </c>
      <c r="E172" s="1571"/>
      <c r="F172" s="1571"/>
      <c r="G172" s="1571"/>
      <c r="H172" s="1571"/>
    </row>
    <row r="173" spans="1:8">
      <c r="A173" s="1578" t="s">
        <v>497</v>
      </c>
      <c r="B173" s="1579">
        <v>51</v>
      </c>
      <c r="C173" s="1560">
        <v>0.17169999999999999</v>
      </c>
      <c r="D173" s="1559">
        <f t="shared" si="0"/>
        <v>0.10919999999999999</v>
      </c>
      <c r="E173" s="1571"/>
      <c r="F173" s="1571"/>
      <c r="G173" s="1571"/>
      <c r="H173" s="1571"/>
    </row>
    <row r="174" spans="1:8">
      <c r="A174" s="1578" t="s">
        <v>496</v>
      </c>
      <c r="B174" s="1579">
        <v>56.5</v>
      </c>
      <c r="C174" s="1560">
        <v>0.17169999999999999</v>
      </c>
      <c r="D174" s="1559">
        <f t="shared" si="0"/>
        <v>0.10919999999999999</v>
      </c>
      <c r="E174" s="1571"/>
      <c r="F174" s="1571"/>
      <c r="G174" s="1571"/>
      <c r="H174" s="1571"/>
    </row>
    <row r="175" spans="1:8">
      <c r="A175" s="1578" t="s">
        <v>495</v>
      </c>
      <c r="B175" s="1579">
        <v>42.5</v>
      </c>
      <c r="C175" s="1560">
        <v>0.20899999999999999</v>
      </c>
      <c r="D175" s="1559">
        <f t="shared" si="0"/>
        <v>0.14649999999999999</v>
      </c>
      <c r="E175" s="1571"/>
      <c r="F175" s="1571"/>
      <c r="G175" s="1571"/>
      <c r="H175" s="1571"/>
    </row>
    <row r="176" spans="1:8">
      <c r="A176" s="1578" t="s">
        <v>494</v>
      </c>
      <c r="B176" s="1579">
        <v>48.3</v>
      </c>
      <c r="C176" s="1560">
        <v>0.20899999999999999</v>
      </c>
      <c r="D176" s="1559">
        <f t="shared" si="0"/>
        <v>0.14649999999999999</v>
      </c>
      <c r="E176" s="1571"/>
      <c r="F176" s="1571"/>
      <c r="G176" s="1571"/>
      <c r="H176" s="1571"/>
    </row>
    <row r="177" spans="1:8">
      <c r="A177" s="1578" t="s">
        <v>493</v>
      </c>
      <c r="B177" s="1579">
        <v>35.799999999999997</v>
      </c>
      <c r="C177" s="1560">
        <v>0.25</v>
      </c>
      <c r="D177" s="1559">
        <f t="shared" si="0"/>
        <v>0.1875</v>
      </c>
      <c r="E177" s="1571"/>
      <c r="F177" s="1571"/>
      <c r="G177" s="1571"/>
      <c r="H177" s="1571"/>
    </row>
    <row r="178" spans="1:8">
      <c r="A178" s="1578" t="s">
        <v>492</v>
      </c>
      <c r="B178" s="1579">
        <v>63</v>
      </c>
      <c r="C178" s="1560">
        <v>0.12709999999999999</v>
      </c>
      <c r="D178" s="1559">
        <f t="shared" si="0"/>
        <v>6.4599999999999991E-2</v>
      </c>
      <c r="E178" s="1571"/>
      <c r="F178" s="1571"/>
      <c r="G178" s="1571"/>
      <c r="H178" s="1571"/>
    </row>
    <row r="179" spans="1:8">
      <c r="A179" s="1578" t="s">
        <v>491</v>
      </c>
      <c r="B179" s="1579">
        <v>63.8</v>
      </c>
      <c r="C179" s="1560">
        <v>0.12709999999999999</v>
      </c>
      <c r="D179" s="1559">
        <f t="shared" si="0"/>
        <v>6.4599999999999991E-2</v>
      </c>
      <c r="E179" s="1571"/>
      <c r="F179" s="1571"/>
      <c r="G179" s="1571"/>
      <c r="H179" s="1571"/>
    </row>
    <row r="180" spans="1:8">
      <c r="A180" s="1578" t="s">
        <v>490</v>
      </c>
      <c r="B180" s="1579">
        <v>50.3</v>
      </c>
      <c r="C180" s="1560">
        <v>0.17169999999999999</v>
      </c>
      <c r="D180" s="1559">
        <f t="shared" si="0"/>
        <v>0.10919999999999999</v>
      </c>
      <c r="E180" s="1571"/>
      <c r="F180" s="1571"/>
      <c r="G180" s="1571"/>
      <c r="H180" s="1571"/>
    </row>
    <row r="181" spans="1:8">
      <c r="A181" s="1578" t="s">
        <v>489</v>
      </c>
      <c r="B181" s="1579">
        <v>54.5</v>
      </c>
      <c r="C181" s="1560">
        <v>0.17169999999999999</v>
      </c>
      <c r="D181" s="1559">
        <f t="shared" si="0"/>
        <v>0.10919999999999999</v>
      </c>
      <c r="E181" s="1571"/>
      <c r="F181" s="1571"/>
      <c r="G181" s="1571"/>
      <c r="H181" s="1571"/>
    </row>
    <row r="182" spans="1:8">
      <c r="A182" s="1581"/>
      <c r="B182" s="1582"/>
      <c r="C182" s="1583"/>
      <c r="D182" s="1570"/>
      <c r="E182" s="1571"/>
      <c r="F182" s="1571"/>
      <c r="G182" s="1571"/>
      <c r="H182" s="1571"/>
    </row>
    <row r="183" spans="1:8">
      <c r="B183" s="1584" t="s">
        <v>394</v>
      </c>
      <c r="C183" s="1584" t="s">
        <v>488</v>
      </c>
    </row>
    <row r="184" spans="1:8">
      <c r="B184" s="1557" t="s">
        <v>487</v>
      </c>
      <c r="C184" s="1585">
        <v>78</v>
      </c>
    </row>
    <row r="185" spans="1:8">
      <c r="B185" s="1557" t="s">
        <v>486</v>
      </c>
      <c r="C185" s="1585">
        <v>94</v>
      </c>
    </row>
    <row r="186" spans="1:8">
      <c r="B186" s="1557" t="s">
        <v>485</v>
      </c>
      <c r="C186" s="1585">
        <v>133</v>
      </c>
    </row>
    <row r="187" spans="1:8">
      <c r="B187" s="1557" t="s">
        <v>484</v>
      </c>
      <c r="C187" s="1585">
        <v>44</v>
      </c>
    </row>
    <row r="188" spans="1:8">
      <c r="B188" s="1557" t="s">
        <v>483</v>
      </c>
      <c r="C188" s="1585">
        <v>55</v>
      </c>
    </row>
    <row r="189" spans="1:8">
      <c r="B189" s="1557" t="s">
        <v>482</v>
      </c>
      <c r="C189" s="1585">
        <v>67</v>
      </c>
    </row>
    <row r="190" spans="1:8">
      <c r="B190" s="1557" t="s">
        <v>481</v>
      </c>
      <c r="C190" s="1585">
        <v>0</v>
      </c>
    </row>
    <row r="191" spans="1:8">
      <c r="B191" s="1557" t="s">
        <v>480</v>
      </c>
      <c r="C191" s="1585">
        <v>499</v>
      </c>
    </row>
    <row r="192" spans="1:8">
      <c r="B192" s="1557" t="s">
        <v>479</v>
      </c>
      <c r="C192" s="1585">
        <v>610</v>
      </c>
    </row>
    <row r="193" spans="2:3">
      <c r="B193" s="1557" t="s">
        <v>478</v>
      </c>
      <c r="C193" s="1585">
        <v>721</v>
      </c>
    </row>
    <row r="194" spans="2:3">
      <c r="B194" s="1557" t="s">
        <v>477</v>
      </c>
      <c r="C194" s="1585">
        <v>277</v>
      </c>
    </row>
    <row r="195" spans="2:3">
      <c r="B195" s="1557" t="s">
        <v>476</v>
      </c>
      <c r="C195" s="1585">
        <v>333</v>
      </c>
    </row>
    <row r="196" spans="2:3">
      <c r="B196" s="1557" t="s">
        <v>475</v>
      </c>
      <c r="C196" s="1585">
        <v>399</v>
      </c>
    </row>
    <row r="197" spans="2:3">
      <c r="B197" s="1557" t="s">
        <v>474</v>
      </c>
      <c r="C197" s="1585">
        <v>177</v>
      </c>
    </row>
    <row r="198" spans="2:3">
      <c r="B198" s="1557" t="s">
        <v>473</v>
      </c>
      <c r="C198" s="1585">
        <v>211</v>
      </c>
    </row>
    <row r="199" spans="2:3">
      <c r="B199" s="1557" t="s">
        <v>472</v>
      </c>
      <c r="C199" s="1585">
        <v>244</v>
      </c>
    </row>
    <row r="200" spans="2:3">
      <c r="B200" s="1563" t="s">
        <v>471</v>
      </c>
      <c r="C200" s="1585">
        <v>1330</v>
      </c>
    </row>
    <row r="201" spans="2:3">
      <c r="B201" s="1557" t="s">
        <v>470</v>
      </c>
      <c r="C201" s="1585">
        <v>831</v>
      </c>
    </row>
    <row r="202" spans="2:3">
      <c r="B202" s="1563" t="s">
        <v>469</v>
      </c>
      <c r="C202" s="1585">
        <v>998</v>
      </c>
    </row>
    <row r="203" spans="2:3">
      <c r="B203" s="1563" t="s">
        <v>468</v>
      </c>
      <c r="C203" s="1585">
        <v>1108</v>
      </c>
    </row>
    <row r="204" spans="2:3">
      <c r="B204" s="1563" t="s">
        <v>467</v>
      </c>
      <c r="C204" s="1557" t="s">
        <v>466</v>
      </c>
    </row>
  </sheetData>
  <pageMargins left="0.75" right="0.75" top="1" bottom="1" header="0.5" footer="0.5"/>
  <pageSetup orientation="landscape" horizontalDpi="4294967292" verticalDpi="4294967292"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8</vt:i4>
      </vt:variant>
    </vt:vector>
  </HeadingPairs>
  <TitlesOfParts>
    <vt:vector size="39" baseType="lpstr">
      <vt:lpstr>INICIO</vt:lpstr>
      <vt:lpstr>Resumen</vt:lpstr>
      <vt:lpstr>BG</vt:lpstr>
      <vt:lpstr>ER</vt:lpstr>
      <vt:lpstr>Ratios</vt:lpstr>
      <vt:lpstr>Betas</vt:lpstr>
      <vt:lpstr>PrimaRiesgo</vt:lpstr>
      <vt:lpstr>RiesgoPais</vt:lpstr>
      <vt:lpstr>ERPs by country</vt:lpstr>
      <vt:lpstr>Factor</vt:lpstr>
      <vt:lpstr>CapitalTrabajo</vt:lpstr>
      <vt:lpstr>Lambda</vt:lpstr>
      <vt:lpstr>PabloFernandez</vt:lpstr>
      <vt:lpstr>Kd</vt:lpstr>
      <vt:lpstr>Ke</vt:lpstr>
      <vt:lpstr>WACC</vt:lpstr>
      <vt:lpstr>Comun-Inversion</vt:lpstr>
      <vt:lpstr>Supuestos</vt:lpstr>
      <vt:lpstr>G</vt:lpstr>
      <vt:lpstr>Flujo de Caja</vt:lpstr>
      <vt:lpstr>Multiplos</vt:lpstr>
      <vt:lpstr>EEFF Proyectados</vt:lpstr>
      <vt:lpstr>Proyeccion Venta</vt:lpstr>
      <vt:lpstr>Eviews</vt:lpstr>
      <vt:lpstr>Caja a Litros</vt:lpstr>
      <vt:lpstr>PU</vt:lpstr>
      <vt:lpstr>Est poblacionales</vt:lpstr>
      <vt:lpstr>INEI</vt:lpstr>
      <vt:lpstr>Depreciacion</vt:lpstr>
      <vt:lpstr>Costo de Produccion</vt:lpstr>
      <vt:lpstr>Commoditie</vt:lpstr>
      <vt:lpstr>Eviews!_Toc460067643</vt:lpstr>
      <vt:lpstr>Eviews!_Toc460067658</vt:lpstr>
      <vt:lpstr>Eviews!_Toc460067659</vt:lpstr>
      <vt:lpstr>Eviews!_Toc460067660</vt:lpstr>
      <vt:lpstr>RiesgoPais!Área_de_impresión</vt:lpstr>
      <vt:lpstr>costo</vt:lpstr>
      <vt:lpstr>RiesgoPais!CUADRO34</vt:lpstr>
      <vt:lpstr>Betas!Títulos_a_imprimir</vt:lpstr>
    </vt:vector>
  </TitlesOfParts>
  <Company>Repsol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 LAY, CHERYL</dc:creator>
  <cp:lastModifiedBy>tecnico</cp:lastModifiedBy>
  <dcterms:created xsi:type="dcterms:W3CDTF">2016-02-23T18:18:28Z</dcterms:created>
  <dcterms:modified xsi:type="dcterms:W3CDTF">2017-03-28T13:44:48Z</dcterms:modified>
</cp:coreProperties>
</file>